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 Files\Kaela\Claims &amp; Bills\2021 C&amp;B\"/>
    </mc:Choice>
  </mc:AlternateContent>
  <xr:revisionPtr revIDLastSave="0" documentId="13_ncr:1_{A2E840DD-61B2-4077-9879-2B0C7CC4F2BB}" xr6:coauthVersionLast="45" xr6:coauthVersionMax="45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11 25" sheetId="11" r:id="rId2"/>
    <sheet name="12 02" sheetId="12" r:id="rId3"/>
    <sheet name="12 09" sheetId="13" r:id="rId4"/>
    <sheet name="12 16" sheetId="14" r:id="rId5"/>
    <sheet name="12 23" sheetId="15" r:id="rId6"/>
  </sheets>
  <externalReferences>
    <externalReference r:id="rId7"/>
    <externalReference r:id="rId8"/>
  </externalReferences>
  <definedNames>
    <definedName name="_xlnm.Print_Area" localSheetId="1">'11 25'!$A$1:$E$61</definedName>
    <definedName name="_xlnm.Print_Area" localSheetId="2">'12 02'!$A$1:$E$57</definedName>
    <definedName name="_xlnm.Print_Area" localSheetId="5">'12 23'!$A$1:$E$56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37" i="1"/>
  <c r="D29" i="1"/>
  <c r="C29" i="1"/>
  <c r="D20" i="1"/>
  <c r="D10" i="1"/>
  <c r="C10" i="1"/>
  <c r="D51" i="15"/>
  <c r="D27" i="15"/>
  <c r="E34" i="15" s="1"/>
  <c r="D10" i="15"/>
  <c r="D49" i="15" s="1"/>
  <c r="D55" i="15" s="1"/>
  <c r="D53" i="15" s="1"/>
  <c r="B5" i="15"/>
  <c r="B6" i="15" s="1"/>
  <c r="B7" i="15" s="1"/>
  <c r="B8" i="15" s="1"/>
  <c r="B9" i="15" s="1"/>
  <c r="E52" i="15" l="1"/>
  <c r="D56" i="15"/>
  <c r="B35" i="15"/>
  <c r="B13" i="15"/>
  <c r="B12" i="15"/>
  <c r="B11" i="15"/>
  <c r="B39" i="15"/>
  <c r="B30" i="15"/>
  <c r="B29" i="15" s="1"/>
  <c r="B28" i="15" s="1"/>
  <c r="B27" i="15" s="1"/>
  <c r="B31" i="15" s="1"/>
  <c r="B32" i="15" s="1"/>
  <c r="B38" i="15"/>
  <c r="B10" i="15"/>
  <c r="B37" i="15"/>
  <c r="B36" i="15"/>
  <c r="B40" i="15"/>
  <c r="I9" i="1"/>
  <c r="D72" i="1" l="1"/>
  <c r="D66" i="1"/>
  <c r="D60" i="1"/>
  <c r="D53" i="1"/>
  <c r="D28" i="1"/>
  <c r="C28" i="1"/>
  <c r="D19" i="1"/>
  <c r="D9" i="1"/>
  <c r="C9" i="1"/>
  <c r="D51" i="14"/>
  <c r="D35" i="14"/>
  <c r="D29" i="14"/>
  <c r="E34" i="14" s="1"/>
  <c r="D27" i="14"/>
  <c r="D15" i="14"/>
  <c r="D11" i="14"/>
  <c r="D10" i="14"/>
  <c r="D49" i="14" s="1"/>
  <c r="D55" i="14" s="1"/>
  <c r="D53" i="14" s="1"/>
  <c r="B5" i="14"/>
  <c r="B6" i="14" s="1"/>
  <c r="B7" i="14" s="1"/>
  <c r="B8" i="14" s="1"/>
  <c r="B9" i="14" s="1"/>
  <c r="B38" i="14" l="1"/>
  <c r="B35" i="14"/>
  <c r="B30" i="14"/>
  <c r="B29" i="14" s="1"/>
  <c r="B28" i="14" s="1"/>
  <c r="B27" i="14" s="1"/>
  <c r="B31" i="14" s="1"/>
  <c r="B32" i="14" s="1"/>
  <c r="B12" i="14"/>
  <c r="B10" i="14"/>
  <c r="B37" i="14"/>
  <c r="B40" i="14"/>
  <c r="B36" i="14"/>
  <c r="B11" i="14"/>
  <c r="B39" i="14"/>
  <c r="B13" i="14"/>
  <c r="D56" i="14"/>
  <c r="E52" i="14"/>
  <c r="D52" i="1" l="1"/>
  <c r="D18" i="1"/>
  <c r="D8" i="1"/>
  <c r="C8" i="1"/>
  <c r="D52" i="13"/>
  <c r="E35" i="13"/>
  <c r="D35" i="13"/>
  <c r="D28" i="13"/>
  <c r="D18" i="13"/>
  <c r="D10" i="13"/>
  <c r="D50" i="13" s="1"/>
  <c r="D56" i="13" s="1"/>
  <c r="D54" i="13" s="1"/>
  <c r="B5" i="13"/>
  <c r="B6" i="13" s="1"/>
  <c r="B7" i="13" s="1"/>
  <c r="B8" i="13" s="1"/>
  <c r="B9" i="13" s="1"/>
  <c r="B38" i="13" l="1"/>
  <c r="B41" i="13"/>
  <c r="B37" i="13"/>
  <c r="B13" i="13"/>
  <c r="B10" i="13"/>
  <c r="B40" i="13"/>
  <c r="B36" i="13"/>
  <c r="B12" i="13"/>
  <c r="B39" i="13"/>
  <c r="B31" i="13"/>
  <c r="B30" i="13" s="1"/>
  <c r="B29" i="13" s="1"/>
  <c r="B28" i="13" s="1"/>
  <c r="B32" i="13" s="1"/>
  <c r="B33" i="13" s="1"/>
  <c r="B11" i="13"/>
  <c r="D57" i="13"/>
  <c r="E53" i="13"/>
  <c r="D86" i="1"/>
  <c r="D70" i="1"/>
  <c r="D58" i="1"/>
  <c r="D26" i="1"/>
  <c r="C26" i="1"/>
  <c r="D7" i="1"/>
  <c r="C7" i="1"/>
  <c r="D55" i="12"/>
  <c r="D38" i="12"/>
  <c r="B36" i="12"/>
  <c r="D31" i="12"/>
  <c r="D11" i="12"/>
  <c r="D17" i="1" s="1"/>
  <c r="B6" i="12"/>
  <c r="B7" i="12" s="1"/>
  <c r="B8" i="12" s="1"/>
  <c r="B9" i="12" s="1"/>
  <c r="E38" i="12" l="1"/>
  <c r="D51" i="1" s="1"/>
  <c r="D53" i="12"/>
  <c r="D59" i="12" s="1"/>
  <c r="D57" i="12" s="1"/>
  <c r="E56" i="12" s="1"/>
  <c r="B42" i="12"/>
  <c r="B13" i="12"/>
  <c r="B10" i="12"/>
  <c r="B41" i="12"/>
  <c r="B12" i="12"/>
  <c r="B44" i="12"/>
  <c r="B40" i="12"/>
  <c r="B43" i="12"/>
  <c r="B39" i="12"/>
  <c r="B34" i="12"/>
  <c r="B33" i="12" s="1"/>
  <c r="B32" i="12" s="1"/>
  <c r="B31" i="12" s="1"/>
  <c r="B11" i="12"/>
  <c r="D60" i="12"/>
  <c r="D69" i="1"/>
  <c r="D57" i="1"/>
  <c r="D51" i="11"/>
  <c r="D27" i="11"/>
  <c r="E34" i="11" s="1"/>
  <c r="D50" i="1" s="1"/>
  <c r="D16" i="11"/>
  <c r="D11" i="11"/>
  <c r="B5" i="11"/>
  <c r="B6" i="11" s="1"/>
  <c r="B7" i="11" s="1"/>
  <c r="B8" i="11" s="1"/>
  <c r="B9" i="11" s="1"/>
  <c r="D49" i="11" l="1"/>
  <c r="D55" i="11" s="1"/>
  <c r="D53" i="11" s="1"/>
  <c r="D56" i="11" s="1"/>
  <c r="B38" i="11"/>
  <c r="B11" i="11"/>
  <c r="B37" i="11"/>
  <c r="B13" i="11"/>
  <c r="B10" i="11"/>
  <c r="B40" i="11"/>
  <c r="B39" i="11"/>
  <c r="B35" i="11"/>
  <c r="B30" i="11"/>
  <c r="B29" i="11" s="1"/>
  <c r="B28" i="11" s="1"/>
  <c r="B27" i="11" s="1"/>
  <c r="B31" i="11" s="1"/>
  <c r="B32" i="11" s="1"/>
  <c r="B36" i="11"/>
  <c r="B12" i="11"/>
  <c r="E52" i="11" l="1"/>
  <c r="I6" i="1"/>
  <c r="D64" i="1" l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<sst xmlns="http://schemas.openxmlformats.org/spreadsheetml/2006/main" count="327" uniqueCount="116">
  <si>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</si>
  <si>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</si>
  <si>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</si>
  <si>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</si>
  <si>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</si>
  <si>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</si>
  <si>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</si>
  <si>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</si>
  <si>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</si>
  <si>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</si>
  <si>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</si>
  <si>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</si>
  <si>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</si>
  <si>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</si>
  <si>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</si>
  <si>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</si>
  <si>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</si>
  <si>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</si>
  <si>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</si>
  <si>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</si>
  <si>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</si>
  <si>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</si>
  <si>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</si>
  <si>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</si>
  <si>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</si>
  <si>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</si>
  <si>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</si>
  <si>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</si>
  <si>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</si>
  <si>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</si>
  <si>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</si>
  <si>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</si>
  <si>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</si>
  <si>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</si>
  <si>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</si>
  <si>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</si>
  <si>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</si>
  <si>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</si>
  <si>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</si>
  <si>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</si>
  <si>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</si>
  <si>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</si>
  <si>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</si>
  <si>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</si>
  <si>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</si>
  <si>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</si>
  <si>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</si>
  <si>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</si>
  <si>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</si>
  <si>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</si>
  <si>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</si>
  <si>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</si>
  <si>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</si>
  <si>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</si>
  <si>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</si>
  <si>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</si>
  <si>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</si>
  <si>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</si>
  <si>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</si>
  <si>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</si>
  <si>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</si>
  <si>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</si>
  <si>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</si>
  <si>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</si>
  <si>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</si>
  <si>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</si>
  <si>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</si>
  <si>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 xml:space="preserve">Wire Transfer ICMA 457 # </t>
  </si>
  <si>
    <t>Hometown Health Wire</t>
  </si>
  <si>
    <t xml:space="preserve">Wire Transfer ICMA 457 </t>
  </si>
  <si>
    <t>False Alarm</t>
  </si>
  <si>
    <t>***Holiday</t>
  </si>
  <si>
    <t>***not included 1/11</t>
  </si>
  <si>
    <t>Investment Worksheet for 11/25/2020</t>
  </si>
  <si>
    <t>76753-76855</t>
  </si>
  <si>
    <t>Insurance Payment</t>
  </si>
  <si>
    <t>Return items</t>
  </si>
  <si>
    <t>LDJ</t>
  </si>
  <si>
    <t>Bluefin</t>
  </si>
  <si>
    <t>Workers comp  claims - CCMSI</t>
  </si>
  <si>
    <t>Investment Worksheet for 12/2/2020</t>
  </si>
  <si>
    <t>76856-76931</t>
  </si>
  <si>
    <t>411780-411792</t>
  </si>
  <si>
    <t>Room Tax</t>
  </si>
  <si>
    <t>RA 14 Debt Service</t>
  </si>
  <si>
    <t>RA 16 Debt Service</t>
  </si>
  <si>
    <t>Unclaimed Property</t>
  </si>
  <si>
    <t>Star Bond</t>
  </si>
  <si>
    <t>PERS</t>
  </si>
  <si>
    <t>BofA Service Charge</t>
  </si>
  <si>
    <t>LID Transfer</t>
  </si>
  <si>
    <t>Infinisource Checks Transfer</t>
  </si>
  <si>
    <t>Workers comp  claims</t>
  </si>
  <si>
    <t>x</t>
  </si>
  <si>
    <t>Investment Worksheet for 12/09/20</t>
  </si>
  <si>
    <t>76932-77035</t>
  </si>
  <si>
    <t>Jetpay correction</t>
  </si>
  <si>
    <t>NV Cares Campus</t>
  </si>
  <si>
    <t>PD banking error</t>
  </si>
  <si>
    <t>Return Items</t>
  </si>
  <si>
    <t>Federated Cash Advance</t>
  </si>
  <si>
    <t>Investment Worksheet for 12/16/2020</t>
  </si>
  <si>
    <t>77036-77169</t>
  </si>
  <si>
    <t>411793-411804</t>
  </si>
  <si>
    <t>City of Reno invoice</t>
  </si>
  <si>
    <t>Novatime</t>
  </si>
  <si>
    <t>Elavon Fees</t>
  </si>
  <si>
    <t>LID parcel payments</t>
  </si>
  <si>
    <t>Workers comp  claims (CCMSI)</t>
  </si>
  <si>
    <t>Investment Worksheet for 12/23/2020</t>
  </si>
  <si>
    <t>77170-77260</t>
  </si>
  <si>
    <t>bofa service charge</t>
  </si>
  <si>
    <t xml:space="preserve">Cobra </t>
  </si>
  <si>
    <t>Elavon Refund</t>
  </si>
  <si>
    <t>Bluefin Fees</t>
  </si>
  <si>
    <t>11/19-12/23/20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</si>
</sst>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  <numFmt numFmtId="174" formatCode="0.000%"/>
  </numFmts>
  <fonts count="3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257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21" fillId="4" borderId="0" xfId="0" applyFont="1" applyFill="1" applyAlignment="1">
      <alignment horizontal="left"/>
    </xf>
    <xf numFmtId="0" fontId="8" fillId="0" borderId="0" xfId="0" applyFont="1" applyAlignment="1">
      <alignment wrapText="1"/>
    </xf>
    <xf numFmtId="40" fontId="21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16" fontId="8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174" fontId="18" fillId="0" borderId="0" xfId="6" applyNumberFormat="1" applyFont="1" applyFill="1" applyBorder="1"/>
    <xf numFmtId="10" fontId="18" fillId="0" borderId="0" xfId="6" applyNumberFormat="1" applyFont="1" applyFill="1" applyBorder="1"/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31" fillId="0" borderId="0" xfId="9" applyAlignment="1">
      <alignment horizontal="center" textRotation="90"/>
    </xf>
    <xf numFmtId="0" fontId="11" fillId="4" borderId="0" xfId="9" applyFont="1" applyFill="1"/>
    <xf numFmtId="0" fontId="31" fillId="4" borderId="0" xfId="9" applyFill="1"/>
    <xf numFmtId="0" fontId="12" fillId="0" borderId="0" xfId="9" applyFont="1"/>
    <xf numFmtId="0" fontId="31" fillId="0" borderId="0" xfId="9"/>
    <xf numFmtId="0" fontId="13" fillId="0" borderId="0" xfId="9" applyFont="1"/>
    <xf numFmtId="14" fontId="31" fillId="0" borderId="0" xfId="9" applyNumberFormat="1"/>
    <xf numFmtId="40" fontId="14" fillId="0" borderId="0" xfId="9" applyNumberFormat="1" applyFont="1"/>
    <xf numFmtId="0" fontId="15" fillId="0" borderId="0" xfId="9" applyFont="1"/>
    <xf numFmtId="0" fontId="16" fillId="0" borderId="0" xfId="9" applyFont="1"/>
    <xf numFmtId="14" fontId="31" fillId="4" borderId="0" xfId="9" applyNumberFormat="1" applyFill="1"/>
    <xf numFmtId="40" fontId="17" fillId="0" borderId="0" xfId="9" applyNumberFormat="1" applyFont="1"/>
    <xf numFmtId="40" fontId="16" fillId="0" borderId="0" xfId="9" applyNumberFormat="1" applyFont="1"/>
    <xf numFmtId="40" fontId="18" fillId="0" borderId="0" xfId="9" applyNumberFormat="1" applyFont="1"/>
    <xf numFmtId="40" fontId="19" fillId="0" borderId="0" xfId="9" applyNumberFormat="1" applyFont="1"/>
    <xf numFmtId="0" fontId="8" fillId="0" borderId="0" xfId="9" applyFont="1"/>
    <xf numFmtId="40" fontId="8" fillId="0" borderId="0" xfId="9" applyNumberFormat="1" applyFont="1"/>
    <xf numFmtId="0" fontId="20" fillId="0" borderId="0" xfId="9" applyFont="1" applyAlignment="1">
      <alignment horizontal="left"/>
    </xf>
    <xf numFmtId="40" fontId="8" fillId="4" borderId="0" xfId="9" applyNumberFormat="1" applyFont="1" applyFill="1"/>
    <xf numFmtId="40" fontId="21" fillId="0" borderId="0" xfId="9" applyNumberFormat="1" applyFont="1" applyAlignment="1">
      <alignment horizontal="left"/>
    </xf>
    <xf numFmtId="0" fontId="21" fillId="0" borderId="0" xfId="9" applyFont="1" applyAlignment="1">
      <alignment horizontal="left"/>
    </xf>
    <xf numFmtId="0" fontId="21" fillId="4" borderId="0" xfId="9" applyFont="1" applyFill="1" applyAlignment="1">
      <alignment horizontal="left"/>
    </xf>
    <xf numFmtId="42" fontId="22" fillId="0" borderId="0" xfId="9" applyNumberFormat="1" applyFont="1" applyAlignment="1">
      <alignment horizontal="center"/>
    </xf>
    <xf numFmtId="0" fontId="31" fillId="5" borderId="0" xfId="9" applyFill="1"/>
    <xf numFmtId="14" fontId="31" fillId="5" borderId="0" xfId="9" applyNumberFormat="1" applyFill="1"/>
    <xf numFmtId="40" fontId="18" fillId="5" borderId="0" xfId="9" applyNumberFormat="1" applyFont="1" applyFill="1"/>
    <xf numFmtId="14" fontId="8" fillId="0" borderId="0" xfId="9" applyNumberFormat="1" applyFont="1"/>
    <xf numFmtId="16" fontId="8" fillId="0" borderId="0" xfId="9" applyNumberFormat="1" applyFont="1"/>
    <xf numFmtId="0" fontId="23" fillId="0" borderId="0" xfId="9" applyFont="1" applyAlignment="1">
      <alignment horizontal="left"/>
    </xf>
    <xf numFmtId="40" fontId="31" fillId="0" borderId="0" xfId="9" applyNumberFormat="1"/>
    <xf numFmtId="40" fontId="18" fillId="0" borderId="0" xfId="9" quotePrefix="1" applyNumberFormat="1" applyFont="1"/>
    <xf numFmtId="170" fontId="18" fillId="0" borderId="0" xfId="9" applyNumberFormat="1" applyFont="1"/>
    <xf numFmtId="14" fontId="13" fillId="0" borderId="18" xfId="9" applyNumberFormat="1" applyFont="1" applyBorder="1"/>
    <xf numFmtId="0" fontId="31" fillId="0" borderId="14" xfId="9" applyBorder="1"/>
    <xf numFmtId="40" fontId="8" fillId="0" borderId="19" xfId="9" applyNumberFormat="1" applyFont="1" applyBorder="1"/>
    <xf numFmtId="40" fontId="24" fillId="0" borderId="0" xfId="9" applyNumberFormat="1" applyFont="1"/>
    <xf numFmtId="14" fontId="31" fillId="0" borderId="7" xfId="9" applyNumberFormat="1" applyBorder="1"/>
    <xf numFmtId="40" fontId="8" fillId="4" borderId="13" xfId="9" applyNumberFormat="1" applyFont="1" applyFill="1" applyBorder="1"/>
    <xf numFmtId="40" fontId="31" fillId="4" borderId="0" xfId="9" applyNumberFormat="1" applyFill="1"/>
    <xf numFmtId="40" fontId="8" fillId="0" borderId="13" xfId="9" applyNumberFormat="1" applyFont="1" applyBorder="1"/>
    <xf numFmtId="40" fontId="18" fillId="0" borderId="7" xfId="9" applyNumberFormat="1" applyFont="1" applyBorder="1"/>
    <xf numFmtId="40" fontId="8" fillId="0" borderId="0" xfId="9" quotePrefix="1" applyNumberFormat="1" applyFont="1"/>
    <xf numFmtId="40" fontId="21" fillId="0" borderId="0" xfId="9" applyNumberFormat="1" applyFont="1"/>
    <xf numFmtId="40" fontId="13" fillId="0" borderId="0" xfId="9" applyNumberFormat="1" applyFont="1"/>
    <xf numFmtId="40" fontId="17" fillId="0" borderId="0" xfId="9" applyNumberFormat="1" applyFont="1" applyAlignment="1">
      <alignment wrapText="1"/>
    </xf>
    <xf numFmtId="14" fontId="31" fillId="0" borderId="20" xfId="9" applyNumberFormat="1" applyBorder="1"/>
    <xf numFmtId="0" fontId="31" fillId="0" borderId="10" xfId="9" applyBorder="1"/>
    <xf numFmtId="40" fontId="8" fillId="0" borderId="21" xfId="9" applyNumberFormat="1" applyFont="1" applyBorder="1"/>
    <xf numFmtId="40" fontId="26" fillId="0" borderId="7" xfId="9" applyNumberFormat="1" applyFont="1" applyBorder="1" applyAlignment="1">
      <alignment wrapText="1"/>
    </xf>
    <xf numFmtId="40" fontId="26" fillId="0" borderId="0" xfId="9" applyNumberFormat="1" applyFont="1" applyAlignment="1">
      <alignment wrapText="1"/>
    </xf>
    <xf numFmtId="14" fontId="13" fillId="0" borderId="7" xfId="9" applyNumberFormat="1" applyFont="1" applyBorder="1"/>
    <xf numFmtId="40" fontId="26" fillId="0" borderId="7" xfId="9" quotePrefix="1" applyNumberFormat="1" applyFont="1" applyBorder="1" applyAlignment="1">
      <alignment wrapText="1"/>
    </xf>
    <xf numFmtId="40" fontId="26" fillId="0" borderId="7" xfId="9" quotePrefix="1" applyNumberFormat="1" applyFont="1" applyBorder="1"/>
    <xf numFmtId="40" fontId="31" fillId="0" borderId="0" xfId="9" quotePrefix="1" applyNumberFormat="1"/>
    <xf numFmtId="40" fontId="26" fillId="0" borderId="7" xfId="9" applyNumberFormat="1" applyFont="1" applyBorder="1"/>
    <xf numFmtId="14" fontId="20" fillId="0" borderId="0" xfId="9" applyNumberFormat="1" applyFont="1"/>
    <xf numFmtId="40" fontId="31" fillId="0" borderId="7" xfId="9" applyNumberFormat="1" applyBorder="1"/>
    <xf numFmtId="40" fontId="12" fillId="0" borderId="0" xfId="9" applyNumberFormat="1" applyFont="1"/>
    <xf numFmtId="40" fontId="27" fillId="0" borderId="0" xfId="9" applyNumberFormat="1" applyFont="1"/>
    <xf numFmtId="0" fontId="27" fillId="0" borderId="0" xfId="9" applyFont="1" applyAlignment="1">
      <alignment wrapText="1"/>
    </xf>
    <xf numFmtId="40" fontId="27" fillId="0" borderId="0" xfId="9" applyNumberFormat="1" applyFont="1" applyAlignment="1">
      <alignment wrapText="1"/>
    </xf>
    <xf numFmtId="40" fontId="8" fillId="6" borderId="0" xfId="9" applyNumberFormat="1" applyFont="1" applyFill="1"/>
    <xf numFmtId="0" fontId="28" fillId="0" borderId="0" xfId="9" applyFont="1"/>
    <xf numFmtId="40" fontId="13" fillId="0" borderId="0" xfId="9" applyNumberFormat="1" applyFont="1" applyAlignment="1">
      <alignment horizontal="left"/>
    </xf>
    <xf numFmtId="40" fontId="12" fillId="0" borderId="0" xfId="9" applyNumberFormat="1" applyFont="1" applyAlignment="1">
      <alignment horizontal="right"/>
    </xf>
    <xf numFmtId="171" fontId="8" fillId="0" borderId="0" xfId="9" applyNumberFormat="1" applyFont="1"/>
    <xf numFmtId="170" fontId="8" fillId="0" borderId="0" xfId="9" applyNumberFormat="1" applyFont="1"/>
    <xf numFmtId="170" fontId="31" fillId="0" borderId="0" xfId="9" applyNumberFormat="1"/>
    <xf numFmtId="172" fontId="31" fillId="0" borderId="0" xfId="9" applyNumberFormat="1"/>
    <xf numFmtId="2" fontId="31" fillId="0" borderId="0" xfId="9" applyNumberFormat="1"/>
    <xf numFmtId="173" fontId="8" fillId="0" borderId="0" xfId="9" applyNumberFormat="1" applyFont="1"/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2020-11/11%20FY21%20cash%20work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12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04"/>
      <sheetName val="11 11"/>
      <sheetName val="11 18"/>
      <sheetName val="11 25"/>
    </sheetNames>
    <sheetDataSet>
      <sheetData sheetId="0" refreshError="1"/>
      <sheetData sheetId="1" refreshError="1"/>
      <sheetData sheetId="2">
        <row r="11">
          <cell r="B11">
            <v>44152</v>
          </cell>
        </row>
      </sheetData>
      <sheetData sheetId="3">
        <row r="36">
          <cell r="D36">
            <v>-791933.94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02"/>
      <sheetName val="12 09"/>
      <sheetName val="12 16"/>
      <sheetName val="12 23"/>
      <sheetName val="12 30"/>
    </sheetNames>
    <sheetDataSet>
      <sheetData sheetId="0">
        <row r="10">
          <cell r="B10">
            <v>44166</v>
          </cell>
        </row>
      </sheetData>
      <sheetData sheetId="1">
        <row r="10">
          <cell r="B10">
            <v>44173</v>
          </cell>
        </row>
      </sheetData>
      <sheetData sheetId="2">
        <row r="10">
          <cell r="B10">
            <v>44180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zoomScale="90" zoomScaleNormal="90" workbookViewId="0">
      <selection activeCell="D55" sqref="D55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5.57031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44193</v>
      </c>
      <c r="IS1" s="10"/>
    </row>
    <row r="2" spans="1:253" ht="17.25" customHeight="1" x14ac:dyDescent="0.25">
      <c r="A2" s="11" t="s">
        <v>115</v>
      </c>
      <c r="B2" s="12"/>
      <c r="C2" s="3"/>
      <c r="D2" s="8" t="s">
        <v>4</v>
      </c>
      <c r="E2" s="13">
        <v>44207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44160</v>
      </c>
      <c r="C6" s="91" t="str">
        <f>'11 25'!E10</f>
        <v>76753-76855</v>
      </c>
      <c r="D6" s="32">
        <f>-'11 25'!D10</f>
        <v>911207.54</v>
      </c>
      <c r="E6" s="33"/>
      <c r="F6" s="34">
        <f>+B6</f>
        <v>44160</v>
      </c>
      <c r="G6" s="35">
        <v>0</v>
      </c>
      <c r="H6" s="34">
        <v>44167</v>
      </c>
      <c r="I6" s="36">
        <f>1000.63+3077.5</f>
        <v>4078.13</v>
      </c>
      <c r="J6" s="37"/>
      <c r="K6" s="38"/>
      <c r="IS6" s="10"/>
    </row>
    <row r="7" spans="1:253" ht="15.75" x14ac:dyDescent="0.25">
      <c r="A7" s="8"/>
      <c r="B7" s="12">
        <v>44167</v>
      </c>
      <c r="C7" s="18" t="str">
        <f>'12 02'!E10</f>
        <v>76856-76931</v>
      </c>
      <c r="D7" s="32">
        <f>-'12 02'!D10</f>
        <v>983535.39</v>
      </c>
      <c r="E7" s="33"/>
      <c r="F7" s="34">
        <f>+B7</f>
        <v>44167</v>
      </c>
      <c r="G7" s="35">
        <v>0</v>
      </c>
      <c r="H7" s="34">
        <v>44174</v>
      </c>
      <c r="I7" s="17">
        <v>8600.27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>
        <v>44174</v>
      </c>
      <c r="C8" s="40" t="str">
        <f>'12 09'!E10</f>
        <v>76932-77035</v>
      </c>
      <c r="D8" s="32">
        <f>-'12 09'!D10</f>
        <v>1366299.6099999999</v>
      </c>
      <c r="E8" s="33"/>
      <c r="F8" s="34">
        <f>+B8</f>
        <v>44174</v>
      </c>
      <c r="G8" s="35"/>
      <c r="H8" s="34">
        <v>44181</v>
      </c>
      <c r="I8" s="36">
        <v>563.92999999999995</v>
      </c>
      <c r="J8" s="26"/>
      <c r="IS8" s="10"/>
    </row>
    <row r="9" spans="1:253" ht="14.45" customHeight="1" x14ac:dyDescent="0.2">
      <c r="A9" s="41"/>
      <c r="B9" s="12">
        <v>44181</v>
      </c>
      <c r="C9" s="40" t="str">
        <f>'12 16'!E10</f>
        <v>77036-77169</v>
      </c>
      <c r="D9" s="32">
        <f>-'12 16'!D10</f>
        <v>1083551.19</v>
      </c>
      <c r="E9" s="33"/>
      <c r="F9" s="34">
        <f>+B9</f>
        <v>44181</v>
      </c>
      <c r="G9" s="35"/>
      <c r="H9" s="34">
        <v>44188</v>
      </c>
      <c r="I9" s="17">
        <f>10800+68.97+7315</f>
        <v>18183.97</v>
      </c>
      <c r="J9" s="26"/>
      <c r="IS9" s="10"/>
    </row>
    <row r="10" spans="1:253" ht="14.45" customHeight="1" x14ac:dyDescent="0.2">
      <c r="A10" s="41"/>
      <c r="B10" s="12">
        <v>44188</v>
      </c>
      <c r="C10" s="40" t="str">
        <f>+'12 23'!E10</f>
        <v>77170-77260</v>
      </c>
      <c r="D10" s="32">
        <f>-'12 23'!D10</f>
        <v>845802.86</v>
      </c>
      <c r="E10" s="33"/>
      <c r="F10" s="34">
        <f>+B10</f>
        <v>44188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5190396.5900000008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31426.300000000003</v>
      </c>
      <c r="J14" s="46" t="s">
        <v>72</v>
      </c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44160</v>
      </c>
      <c r="D16" s="48">
        <f>'11 25'!D11</f>
        <v>9436.43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44167</v>
      </c>
      <c r="C17" s="52"/>
      <c r="D17" s="48">
        <f>'12 02'!D11</f>
        <v>4405.1099999999997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44174</v>
      </c>
      <c r="C18" s="53"/>
      <c r="D18" s="48">
        <f>'12 09'!D11</f>
        <v>350</v>
      </c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44181</v>
      </c>
      <c r="C19" s="53"/>
      <c r="D19" s="48">
        <f>'12 16'!D11</f>
        <v>185</v>
      </c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44188</v>
      </c>
      <c r="C20" s="54"/>
      <c r="D20" s="48">
        <f>+'12 23'!D11</f>
        <v>4006.4</v>
      </c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44181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18382.940000000002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44160</v>
      </c>
      <c r="C25" s="106">
        <f>'11 25'!E12</f>
        <v>411779</v>
      </c>
      <c r="D25" s="48">
        <f>-'11 25'!D12</f>
        <v>2038.25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44167</v>
      </c>
      <c r="C26" s="107" t="str">
        <f>'12 02'!E12</f>
        <v>411780-411792</v>
      </c>
      <c r="D26" s="48">
        <f>-'12 02'!D12</f>
        <v>6681.39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44174</v>
      </c>
      <c r="C27" s="18"/>
      <c r="D27" s="48">
        <v>0</v>
      </c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44181</v>
      </c>
      <c r="C28" s="18" t="str">
        <f>'12 16'!E12</f>
        <v>411793-411804</v>
      </c>
      <c r="D28" s="48">
        <f>-'12 16'!D12</f>
        <v>5481.73</v>
      </c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44188</v>
      </c>
      <c r="C29" s="18">
        <f>+'12 23'!E12</f>
        <v>411805</v>
      </c>
      <c r="D29" s="48">
        <f>-'12 23'!D12</f>
        <v>31.96</v>
      </c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14233.329999999998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44160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44167</v>
      </c>
      <c r="C34" s="18"/>
      <c r="D34" s="48"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44174</v>
      </c>
      <c r="C35" s="18"/>
      <c r="D35" s="48">
        <v>0</v>
      </c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44181</v>
      </c>
      <c r="C36" s="18"/>
      <c r="D36" s="48">
        <v>0</v>
      </c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44188</v>
      </c>
      <c r="C37" s="18"/>
      <c r="D37" s="48">
        <f>+'12 23'!D13</f>
        <v>31.96</v>
      </c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31.96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84"/>
      <c r="C44" s="184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44160</v>
      </c>
      <c r="C50" s="18"/>
      <c r="D50" s="48">
        <f>-'11 25'!E34</f>
        <v>833222.17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44167</v>
      </c>
      <c r="C51" s="18"/>
      <c r="D51" s="48">
        <f>-'12 02'!E38</f>
        <v>334324.51999999996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44174</v>
      </c>
      <c r="C52" s="18"/>
      <c r="D52" s="48">
        <f>-'12 09'!E35</f>
        <v>457046.1</v>
      </c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44181</v>
      </c>
      <c r="C53" s="18"/>
      <c r="D53" s="48">
        <f>-'12 16'!E34</f>
        <v>1659609.7399999998</v>
      </c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44188</v>
      </c>
      <c r="C54" s="18"/>
      <c r="D54" s="48">
        <f>-'12 23'!E34</f>
        <v>546115.29</v>
      </c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3830317.82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44160</v>
      </c>
      <c r="C57" s="18"/>
      <c r="D57" s="32">
        <f>-'11 25'!D40</f>
        <v>258582.07</v>
      </c>
      <c r="E57" s="33"/>
      <c r="F57" s="49">
        <f>B57</f>
        <v>44160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44167</v>
      </c>
      <c r="C58" s="18"/>
      <c r="D58" s="32">
        <f>-'12 02'!D44</f>
        <v>289878.73</v>
      </c>
      <c r="E58" s="33"/>
      <c r="F58" s="49">
        <f>B58</f>
        <v>44167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44174</v>
      </c>
      <c r="C59" s="18"/>
      <c r="D59" s="32">
        <v>0</v>
      </c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44181</v>
      </c>
      <c r="C60" s="18"/>
      <c r="D60" s="32">
        <f>-'12 16'!D40</f>
        <v>288280.98</v>
      </c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44188</v>
      </c>
      <c r="C61" s="18"/>
      <c r="D61" s="32">
        <v>0</v>
      </c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44160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44167</v>
      </c>
      <c r="C64" s="18"/>
      <c r="D64" s="48">
        <f>-'12 02'!D36</f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44174</v>
      </c>
      <c r="C65" s="18"/>
      <c r="D65" s="48">
        <v>0</v>
      </c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44181</v>
      </c>
      <c r="C66" s="18"/>
      <c r="D66" s="48">
        <f>-'12 16'!D35</f>
        <v>1140068.19</v>
      </c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44188</v>
      </c>
      <c r="C67" s="18"/>
      <c r="D67" s="48">
        <v>0</v>
      </c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44160</v>
      </c>
      <c r="C69" s="18"/>
      <c r="D69" s="32">
        <f>-'[1]11 25'!$D$36</f>
        <v>791933.94</v>
      </c>
      <c r="E69" s="33"/>
      <c r="F69" s="49">
        <f>+B69</f>
        <v>44160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44167</v>
      </c>
      <c r="C70" s="18"/>
      <c r="D70" s="32">
        <f>-'12 02'!D40</f>
        <v>1487028.01</v>
      </c>
      <c r="E70" s="33"/>
      <c r="F70" s="49">
        <f>+B70</f>
        <v>44167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44174</v>
      </c>
      <c r="C71" s="18"/>
      <c r="D71" s="32">
        <v>0</v>
      </c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44181</v>
      </c>
      <c r="C72" s="18"/>
      <c r="D72" s="32">
        <f>-'12 16'!D36</f>
        <v>1506962.55</v>
      </c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44188</v>
      </c>
      <c r="C73" s="18"/>
      <c r="D73" s="32">
        <v>0</v>
      </c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5762734.4699999997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44160</v>
      </c>
      <c r="C85" s="18"/>
      <c r="D85" s="48"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44167</v>
      </c>
      <c r="C86" s="12"/>
      <c r="D86" s="48">
        <f>-'12 02'!D16-'12 02'!D17</f>
        <v>1031368.5599999999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44174</v>
      </c>
      <c r="C87" s="12"/>
      <c r="D87" s="48">
        <v>0</v>
      </c>
      <c r="E87" s="185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44181</v>
      </c>
      <c r="C88" s="18"/>
      <c r="D88" s="48">
        <v>0</v>
      </c>
      <c r="E88" s="185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44188</v>
      </c>
      <c r="C89" s="18"/>
      <c r="D89" s="48">
        <v>0</v>
      </c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1031368.5599999999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7"/>
  <sheetViews>
    <sheetView topLeftCell="A11" zoomScaleNormal="100" workbookViewId="0">
      <selection activeCell="B15" sqref="B15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73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'[1]11 18'!B11</f>
        <v>44152</v>
      </c>
      <c r="C5" t="s">
        <v>33</v>
      </c>
      <c r="D5" s="92">
        <v>539184.6</v>
      </c>
      <c r="E5" s="118"/>
      <c r="F5" s="113"/>
      <c r="J5" s="102"/>
    </row>
    <row r="6" spans="1:10" x14ac:dyDescent="0.25">
      <c r="A6" s="116" t="s">
        <v>34</v>
      </c>
      <c r="B6" s="113">
        <f>+B5+1</f>
        <v>44153</v>
      </c>
      <c r="C6" t="s">
        <v>35</v>
      </c>
      <c r="D6" s="92">
        <v>1369269.34</v>
      </c>
      <c r="E6" s="119"/>
      <c r="F6" s="113"/>
    </row>
    <row r="7" spans="1:10" x14ac:dyDescent="0.25">
      <c r="A7" s="116" t="s">
        <v>36</v>
      </c>
      <c r="B7" s="113">
        <f>+B6+1</f>
        <v>44154</v>
      </c>
      <c r="C7" t="s">
        <v>33</v>
      </c>
      <c r="D7" s="92">
        <v>341175.57</v>
      </c>
      <c r="E7" s="120"/>
      <c r="F7" s="113"/>
    </row>
    <row r="8" spans="1:10" x14ac:dyDescent="0.25">
      <c r="A8" s="116" t="s">
        <v>37</v>
      </c>
      <c r="B8" s="113">
        <f>+B7+1</f>
        <v>44155</v>
      </c>
      <c r="C8" t="s">
        <v>33</v>
      </c>
      <c r="D8" s="92">
        <v>588991.14</v>
      </c>
      <c r="E8" s="119"/>
      <c r="F8" s="113"/>
    </row>
    <row r="9" spans="1:10" x14ac:dyDescent="0.25">
      <c r="A9" s="116" t="s">
        <v>38</v>
      </c>
      <c r="B9" s="113">
        <f>+B8+3</f>
        <v>44158</v>
      </c>
      <c r="C9" t="s">
        <v>33</v>
      </c>
      <c r="D9" s="92">
        <v>109588.91</v>
      </c>
      <c r="E9" s="121"/>
      <c r="F9" s="113"/>
    </row>
    <row r="10" spans="1:10" x14ac:dyDescent="0.25">
      <c r="B10" s="113">
        <f>+$B$9+1</f>
        <v>44159</v>
      </c>
      <c r="C10" s="91" t="s">
        <v>39</v>
      </c>
      <c r="D10" s="122">
        <v>-911207.54</v>
      </c>
      <c r="E10" s="91" t="s">
        <v>74</v>
      </c>
      <c r="F10" s="123"/>
      <c r="G10" s="91"/>
    </row>
    <row r="11" spans="1:10" x14ac:dyDescent="0.25">
      <c r="B11" s="113">
        <f>+$B$9+1</f>
        <v>44159</v>
      </c>
      <c r="C11" t="s">
        <v>40</v>
      </c>
      <c r="D11" s="124">
        <f>3479.73+2888+1244.75+575+874.95+374</f>
        <v>9436.43</v>
      </c>
      <c r="E11" s="125"/>
      <c r="F11" s="126"/>
    </row>
    <row r="12" spans="1:10" x14ac:dyDescent="0.25">
      <c r="B12" s="113">
        <f>B9</f>
        <v>44158</v>
      </c>
      <c r="C12" s="91" t="s">
        <v>41</v>
      </c>
      <c r="D12" s="122">
        <v>-2038.25</v>
      </c>
      <c r="E12" s="176">
        <v>411779</v>
      </c>
    </row>
    <row r="13" spans="1:10" x14ac:dyDescent="0.25">
      <c r="B13" s="113">
        <f>B9</f>
        <v>44158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44109</v>
      </c>
      <c r="C15" s="79" t="s">
        <v>75</v>
      </c>
      <c r="D15" s="122">
        <v>-606.64</v>
      </c>
      <c r="E15" s="91"/>
      <c r="F15" s="132"/>
    </row>
    <row r="16" spans="1:10" x14ac:dyDescent="0.25">
      <c r="B16" s="131">
        <v>44154</v>
      </c>
      <c r="C16" s="79" t="s">
        <v>76</v>
      </c>
      <c r="D16" s="122">
        <f>-443.5-1679.95</f>
        <v>-2123.4499999999998</v>
      </c>
      <c r="E16" s="120"/>
      <c r="F16" s="133"/>
    </row>
    <row r="17" spans="2:17" x14ac:dyDescent="0.25">
      <c r="B17" s="131">
        <v>44112</v>
      </c>
      <c r="C17" s="79" t="s">
        <v>77</v>
      </c>
      <c r="D17" s="122">
        <v>5</v>
      </c>
      <c r="E17" s="120"/>
      <c r="F17" s="133"/>
    </row>
    <row r="18" spans="2:17" x14ac:dyDescent="0.25">
      <c r="B18" s="131">
        <v>44137</v>
      </c>
      <c r="C18" s="79" t="s">
        <v>78</v>
      </c>
      <c r="D18" s="122">
        <v>-26514.06</v>
      </c>
      <c r="E18" s="120"/>
      <c r="F18" s="133"/>
    </row>
    <row r="19" spans="2:17" x14ac:dyDescent="0.25">
      <c r="B19" s="131"/>
      <c r="C19" s="79"/>
      <c r="D19" s="122"/>
      <c r="E19" s="120"/>
      <c r="F19" s="133"/>
    </row>
    <row r="20" spans="2:17" x14ac:dyDescent="0.25">
      <c r="B20" s="131"/>
      <c r="C20" s="79"/>
      <c r="D20" s="122"/>
      <c r="E20" s="120"/>
      <c r="F20" s="133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/>
      <c r="E22" s="120"/>
      <c r="J22" s="102"/>
    </row>
    <row r="23" spans="2:17" x14ac:dyDescent="0.25">
      <c r="B23" s="113"/>
      <c r="C23" s="79" t="s">
        <v>44</v>
      </c>
      <c r="D23" s="122"/>
      <c r="E23" s="134"/>
      <c r="J23" s="102"/>
    </row>
    <row r="24" spans="2:17" x14ac:dyDescent="0.25">
      <c r="B24" s="113"/>
      <c r="C24" s="79" t="s">
        <v>45</v>
      </c>
      <c r="D24" s="122"/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44159</v>
      </c>
      <c r="C27" s="91" t="s">
        <v>47</v>
      </c>
      <c r="D27" s="141">
        <f>-18036.5-5093.92-10000-20000-25000-58551-27799.86-22371.25-10000-23622.14-10000-3671.64-30000-10260.17-20000-20104.92-10000-20000-20000-25000-10038.44-25000-10000-10000-20000-20000-10000-20405.97-20000-20000-10000</f>
        <v>-564955.80999999994</v>
      </c>
      <c r="E27" s="79"/>
      <c r="H27" s="91"/>
    </row>
    <row r="28" spans="2:17" ht="13.5" customHeight="1" x14ac:dyDescent="0.25">
      <c r="B28" s="140">
        <f>B29</f>
        <v>44159</v>
      </c>
      <c r="C28" t="s">
        <v>65</v>
      </c>
      <c r="D28" s="141">
        <v>-147434.68</v>
      </c>
      <c r="E28" s="79"/>
      <c r="H28" s="91"/>
    </row>
    <row r="29" spans="2:17" ht="13.5" customHeight="1" x14ac:dyDescent="0.25">
      <c r="B29" s="140">
        <f>B30+1</f>
        <v>44159</v>
      </c>
      <c r="C29" t="s">
        <v>66</v>
      </c>
      <c r="D29" s="141">
        <v>-320.66000000000003</v>
      </c>
      <c r="E29" s="91"/>
      <c r="H29" s="91"/>
    </row>
    <row r="30" spans="2:17" ht="13.5" customHeight="1" x14ac:dyDescent="0.25">
      <c r="B30" s="140">
        <f>B9</f>
        <v>44158</v>
      </c>
      <c r="C30" t="s">
        <v>48</v>
      </c>
      <c r="D30" s="141">
        <v>-2915.34</v>
      </c>
      <c r="E30" s="91"/>
      <c r="H30" s="91"/>
    </row>
    <row r="31" spans="2:17" ht="13.5" customHeight="1" x14ac:dyDescent="0.25">
      <c r="B31" s="140">
        <f>B27+1</f>
        <v>44160</v>
      </c>
      <c r="C31" t="s">
        <v>49</v>
      </c>
      <c r="D31" s="141">
        <v>-31732.53</v>
      </c>
      <c r="E31" s="91"/>
      <c r="H31" s="91"/>
    </row>
    <row r="32" spans="2:17" x14ac:dyDescent="0.25">
      <c r="B32" s="140">
        <f>B31</f>
        <v>44160</v>
      </c>
      <c r="C32" t="s">
        <v>79</v>
      </c>
      <c r="D32" s="141">
        <v>-85863.15</v>
      </c>
      <c r="E32" s="91"/>
    </row>
    <row r="33" spans="1:17" x14ac:dyDescent="0.25">
      <c r="B33" s="140"/>
      <c r="C33" t="s">
        <v>50</v>
      </c>
      <c r="D33" s="141"/>
      <c r="E33" s="120"/>
    </row>
    <row r="34" spans="1:17" s="101" customFormat="1" x14ac:dyDescent="0.25">
      <c r="A34"/>
      <c r="B34" s="140"/>
      <c r="C34" t="s">
        <v>51</v>
      </c>
      <c r="D34" s="124"/>
      <c r="E34" s="142">
        <f>SUM(D27:D34)</f>
        <v>-833222.17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44158</v>
      </c>
      <c r="C35" t="s">
        <v>52</v>
      </c>
      <c r="D35" s="122"/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44158</v>
      </c>
      <c r="C36" t="s">
        <v>53</v>
      </c>
      <c r="D36" s="122">
        <v>-791933.94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44158</v>
      </c>
      <c r="C37" t="s">
        <v>67</v>
      </c>
      <c r="D37" s="143"/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44158</v>
      </c>
      <c r="C38" s="91" t="s">
        <v>54</v>
      </c>
      <c r="D38" s="143"/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44158</v>
      </c>
      <c r="C39" s="91" t="s">
        <v>55</v>
      </c>
      <c r="D39" s="143"/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44158</v>
      </c>
      <c r="C40" s="91" t="s">
        <v>56</v>
      </c>
      <c r="D40" s="143">
        <v>-258582.07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131422.8700000004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>wire number below</v>
      </c>
      <c r="F52" s="164"/>
      <c r="G52" s="98"/>
    </row>
    <row r="53" spans="1:17" x14ac:dyDescent="0.25">
      <c r="B53" s="112" t="s">
        <v>62</v>
      </c>
      <c r="D53" s="165">
        <f>-D55</f>
        <v>-131422.8700000004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131422.8700000004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91"/>
  <sheetViews>
    <sheetView topLeftCell="A12" zoomScaleNormal="100" workbookViewId="0">
      <selection activeCell="A8" sqref="A1:XFD1048576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47.1406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80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v>44159</v>
      </c>
      <c r="C5" t="s">
        <v>33</v>
      </c>
      <c r="D5" s="92">
        <v>621666.66</v>
      </c>
      <c r="E5" s="118"/>
      <c r="F5" s="113"/>
      <c r="J5" s="102"/>
    </row>
    <row r="6" spans="1:10" x14ac:dyDescent="0.25">
      <c r="A6" s="116" t="s">
        <v>34</v>
      </c>
      <c r="B6" s="113">
        <f>+B5+1</f>
        <v>44160</v>
      </c>
      <c r="C6" t="s">
        <v>35</v>
      </c>
      <c r="D6" s="92">
        <v>72515.48</v>
      </c>
      <c r="E6" s="119"/>
      <c r="F6" s="113"/>
    </row>
    <row r="7" spans="1:10" x14ac:dyDescent="0.25">
      <c r="A7" s="116" t="s">
        <v>36</v>
      </c>
      <c r="B7" s="113">
        <f>+B6+1</f>
        <v>44161</v>
      </c>
      <c r="C7" t="s">
        <v>33</v>
      </c>
      <c r="D7" s="92">
        <v>0</v>
      </c>
      <c r="E7" s="120" t="s">
        <v>71</v>
      </c>
      <c r="F7" s="113"/>
    </row>
    <row r="8" spans="1:10" x14ac:dyDescent="0.25">
      <c r="A8" s="116" t="s">
        <v>37</v>
      </c>
      <c r="B8" s="113">
        <f>+B7+1</f>
        <v>44162</v>
      </c>
      <c r="C8" t="s">
        <v>33</v>
      </c>
      <c r="D8" s="92">
        <v>0</v>
      </c>
      <c r="E8" s="120" t="s">
        <v>71</v>
      </c>
      <c r="F8" s="113" t="s">
        <v>16</v>
      </c>
    </row>
    <row r="9" spans="1:10" x14ac:dyDescent="0.25">
      <c r="A9" s="116" t="s">
        <v>38</v>
      </c>
      <c r="B9" s="113">
        <f>+B8+3</f>
        <v>44165</v>
      </c>
      <c r="C9" t="s">
        <v>33</v>
      </c>
      <c r="D9" s="92">
        <v>203484.93</v>
      </c>
      <c r="E9" s="121"/>
      <c r="F9" s="113"/>
    </row>
    <row r="10" spans="1:10" x14ac:dyDescent="0.25">
      <c r="B10" s="113">
        <f>+$B$9+1</f>
        <v>44166</v>
      </c>
      <c r="C10" s="91" t="s">
        <v>39</v>
      </c>
      <c r="D10" s="122">
        <v>-983535.39</v>
      </c>
      <c r="E10" s="91" t="s">
        <v>81</v>
      </c>
      <c r="F10" s="123"/>
      <c r="G10" s="91"/>
    </row>
    <row r="11" spans="1:10" x14ac:dyDescent="0.25">
      <c r="B11" s="113">
        <f>+$B$9+1</f>
        <v>44166</v>
      </c>
      <c r="C11" t="s">
        <v>40</v>
      </c>
      <c r="D11" s="122">
        <f>144.44+234.28+26+4000.39</f>
        <v>4405.1099999999997</v>
      </c>
      <c r="E11" s="125"/>
      <c r="F11" s="126"/>
    </row>
    <row r="12" spans="1:10" x14ac:dyDescent="0.25">
      <c r="B12" s="113">
        <f>B9</f>
        <v>44165</v>
      </c>
      <c r="C12" s="91" t="s">
        <v>41</v>
      </c>
      <c r="D12" s="122">
        <v>-6681.39</v>
      </c>
      <c r="E12" s="126" t="s">
        <v>82</v>
      </c>
    </row>
    <row r="13" spans="1:10" x14ac:dyDescent="0.25">
      <c r="B13" s="113">
        <f>B9</f>
        <v>44165</v>
      </c>
      <c r="C13" s="91" t="s">
        <v>42</v>
      </c>
      <c r="D13" s="122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44160</v>
      </c>
      <c r="C15" s="79" t="s">
        <v>83</v>
      </c>
      <c r="D15" s="122">
        <v>97672.03</v>
      </c>
      <c r="E15" s="91"/>
      <c r="F15" s="132"/>
    </row>
    <row r="16" spans="1:10" x14ac:dyDescent="0.25">
      <c r="B16" s="131">
        <v>44165</v>
      </c>
      <c r="C16" s="79" t="s">
        <v>84</v>
      </c>
      <c r="D16" s="122">
        <v>-79026.850000000006</v>
      </c>
      <c r="E16" s="120"/>
      <c r="F16" s="133"/>
      <c r="G16" s="91"/>
    </row>
    <row r="17" spans="2:17" x14ac:dyDescent="0.25">
      <c r="B17" s="131">
        <v>44165</v>
      </c>
      <c r="C17" s="79" t="s">
        <v>85</v>
      </c>
      <c r="D17" s="122">
        <v>-952341.71</v>
      </c>
      <c r="E17" s="120"/>
      <c r="F17" s="133"/>
      <c r="G17" s="91"/>
    </row>
    <row r="18" spans="2:17" x14ac:dyDescent="0.25">
      <c r="B18" s="131">
        <v>44165</v>
      </c>
      <c r="C18" s="79" t="s">
        <v>86</v>
      </c>
      <c r="D18" s="122">
        <v>-6378.15</v>
      </c>
      <c r="E18" s="120"/>
      <c r="F18" s="133"/>
      <c r="G18" s="91"/>
    </row>
    <row r="19" spans="2:17" x14ac:dyDescent="0.25">
      <c r="B19" s="131">
        <v>44165</v>
      </c>
      <c r="C19" s="79" t="s">
        <v>87</v>
      </c>
      <c r="D19" s="122">
        <v>1335291.8899999999</v>
      </c>
      <c r="E19" s="120"/>
      <c r="F19" s="133"/>
      <c r="G19" s="91"/>
    </row>
    <row r="20" spans="2:17" x14ac:dyDescent="0.25">
      <c r="B20" s="131">
        <v>44162</v>
      </c>
      <c r="C20" s="79" t="s">
        <v>70</v>
      </c>
      <c r="D20" s="122">
        <v>9080.2999999999993</v>
      </c>
      <c r="E20" s="120"/>
      <c r="F20" s="133"/>
      <c r="G20" s="91"/>
    </row>
    <row r="21" spans="2:17" x14ac:dyDescent="0.25">
      <c r="B21" s="131">
        <v>44158</v>
      </c>
      <c r="C21" s="79" t="s">
        <v>88</v>
      </c>
      <c r="D21" s="122">
        <v>60489.7</v>
      </c>
      <c r="E21" s="120"/>
      <c r="F21" s="133"/>
      <c r="G21" s="91"/>
    </row>
    <row r="22" spans="2:17" x14ac:dyDescent="0.25">
      <c r="B22" s="131">
        <v>44151</v>
      </c>
      <c r="C22" s="79" t="s">
        <v>89</v>
      </c>
      <c r="D22" s="122">
        <v>-1131.56</v>
      </c>
      <c r="E22" s="120"/>
      <c r="F22" s="133"/>
      <c r="G22" s="91"/>
    </row>
    <row r="23" spans="2:17" x14ac:dyDescent="0.25">
      <c r="B23" s="131">
        <v>44166</v>
      </c>
      <c r="C23" s="79" t="s">
        <v>90</v>
      </c>
      <c r="D23" s="122">
        <v>-135133.57</v>
      </c>
      <c r="E23" s="120"/>
      <c r="F23" s="133"/>
      <c r="G23" s="91"/>
    </row>
    <row r="24" spans="2:17" x14ac:dyDescent="0.25">
      <c r="B24" s="131">
        <v>44166</v>
      </c>
      <c r="C24" s="79" t="s">
        <v>87</v>
      </c>
      <c r="D24" s="122">
        <v>-1335291.8899999999</v>
      </c>
      <c r="E24" s="120"/>
      <c r="F24" s="133"/>
      <c r="G24" s="91"/>
    </row>
    <row r="25" spans="2:17" s="128" customFormat="1" x14ac:dyDescent="0.25">
      <c r="B25" s="129"/>
      <c r="D25" s="130"/>
      <c r="E25" s="130"/>
      <c r="J25" s="103"/>
    </row>
    <row r="26" spans="2:17" x14ac:dyDescent="0.25">
      <c r="B26" s="113"/>
      <c r="C26" t="s">
        <v>43</v>
      </c>
      <c r="D26" s="122"/>
      <c r="E26" s="120"/>
      <c r="J26" s="102"/>
    </row>
    <row r="27" spans="2:17" x14ac:dyDescent="0.25">
      <c r="B27" s="113"/>
      <c r="C27" s="79" t="s">
        <v>44</v>
      </c>
      <c r="D27" s="122">
        <v>218381.39</v>
      </c>
      <c r="E27" s="134"/>
      <c r="J27" s="102"/>
    </row>
    <row r="28" spans="2:17" x14ac:dyDescent="0.25">
      <c r="B28" s="113"/>
      <c r="C28" s="79" t="s">
        <v>45</v>
      </c>
      <c r="D28" s="122"/>
      <c r="E28" s="135"/>
      <c r="F28" s="133"/>
      <c r="J28" s="102"/>
    </row>
    <row r="29" spans="2:17" ht="12.75" customHeight="1" x14ac:dyDescent="0.25">
      <c r="B29" s="113"/>
      <c r="C29" s="91" t="s">
        <v>46</v>
      </c>
      <c r="D29" s="122">
        <v>2863591.09</v>
      </c>
      <c r="E29" s="13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x14ac:dyDescent="0.25">
      <c r="B30" s="136"/>
      <c r="C30" s="137"/>
      <c r="D30" s="138"/>
      <c r="E30" s="139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13.5" customHeight="1" x14ac:dyDescent="0.25">
      <c r="B31" s="140">
        <f>B32</f>
        <v>44166</v>
      </c>
      <c r="C31" s="91" t="s">
        <v>47</v>
      </c>
      <c r="D31" s="141">
        <f>-1724.57-11000-10000-10000-20420.08-20000-20000</f>
        <v>-93144.65</v>
      </c>
      <c r="E31" s="79"/>
      <c r="H31" s="91"/>
    </row>
    <row r="32" spans="2:17" ht="13.5" customHeight="1" x14ac:dyDescent="0.25">
      <c r="B32" s="140">
        <f>B33</f>
        <v>44166</v>
      </c>
      <c r="C32" s="91" t="s">
        <v>68</v>
      </c>
      <c r="D32" s="141">
        <v>-208548.57</v>
      </c>
      <c r="E32" s="79"/>
      <c r="H32" s="91"/>
    </row>
    <row r="33" spans="1:17" ht="13.5" customHeight="1" x14ac:dyDescent="0.25">
      <c r="B33" s="140">
        <f>B34+1</f>
        <v>44166</v>
      </c>
      <c r="C33" s="177" t="s">
        <v>91</v>
      </c>
      <c r="D33" s="141"/>
      <c r="E33" s="91"/>
      <c r="H33" s="91"/>
    </row>
    <row r="34" spans="1:17" ht="13.5" customHeight="1" x14ac:dyDescent="0.25">
      <c r="B34" s="140">
        <f>B9</f>
        <v>44165</v>
      </c>
      <c r="C34" s="91" t="s">
        <v>48</v>
      </c>
      <c r="D34" s="141">
        <v>-1833.91</v>
      </c>
      <c r="E34" s="91"/>
      <c r="H34" s="91"/>
    </row>
    <row r="35" spans="1:17" ht="13.5" customHeight="1" x14ac:dyDescent="0.25">
      <c r="B35" s="140">
        <v>44008</v>
      </c>
      <c r="C35" s="91" t="s">
        <v>49</v>
      </c>
      <c r="D35" s="141">
        <v>-29347.39</v>
      </c>
      <c r="E35" s="91"/>
      <c r="H35" s="91"/>
    </row>
    <row r="36" spans="1:17" x14ac:dyDescent="0.25">
      <c r="B36" s="140">
        <f>B35</f>
        <v>44008</v>
      </c>
      <c r="C36" s="175" t="s">
        <v>92</v>
      </c>
      <c r="D36" s="141"/>
      <c r="E36" s="91"/>
    </row>
    <row r="37" spans="1:17" x14ac:dyDescent="0.25">
      <c r="B37" s="140"/>
      <c r="C37" t="s">
        <v>50</v>
      </c>
      <c r="D37" s="141"/>
      <c r="E37" s="120"/>
    </row>
    <row r="38" spans="1:17" s="101" customFormat="1" x14ac:dyDescent="0.25">
      <c r="A38"/>
      <c r="B38" s="140">
        <v>43640</v>
      </c>
      <c r="C38" t="s">
        <v>51</v>
      </c>
      <c r="D38" s="124">
        <f>-900-50-500</f>
        <v>-1450</v>
      </c>
      <c r="E38" s="142">
        <f>SUM(D31:D38)</f>
        <v>-334324.51999999996</v>
      </c>
      <c r="F38"/>
      <c r="G38"/>
      <c r="H38"/>
      <c r="I38"/>
      <c r="K38"/>
      <c r="L38"/>
      <c r="M38"/>
      <c r="N38"/>
      <c r="O38"/>
      <c r="P38"/>
      <c r="Q38"/>
    </row>
    <row r="39" spans="1:17" s="101" customFormat="1" x14ac:dyDescent="0.25">
      <c r="A39"/>
      <c r="B39" s="140">
        <f>$B$9</f>
        <v>44165</v>
      </c>
      <c r="C39" s="91" t="s">
        <v>52</v>
      </c>
      <c r="D39" s="143"/>
      <c r="E39" s="133"/>
      <c r="F39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ref="B40:B44" si="0">$B$9</f>
        <v>44165</v>
      </c>
      <c r="C40" s="91" t="s">
        <v>53</v>
      </c>
      <c r="D40" s="143">
        <v>-1487028.01</v>
      </c>
      <c r="E40" s="133"/>
      <c r="F40"/>
      <c r="G40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40">
        <f t="shared" si="0"/>
        <v>44165</v>
      </c>
      <c r="C41" s="91" t="s">
        <v>69</v>
      </c>
      <c r="D41" s="143">
        <v>-10728.03</v>
      </c>
      <c r="E41" s="144"/>
      <c r="F41" s="133"/>
      <c r="G41"/>
      <c r="H41"/>
      <c r="I41"/>
      <c r="K41"/>
      <c r="L41"/>
      <c r="M41"/>
      <c r="N41"/>
      <c r="O41"/>
      <c r="P41"/>
      <c r="Q41"/>
    </row>
    <row r="42" spans="1:17" s="101" customFormat="1" ht="14.25" customHeight="1" x14ac:dyDescent="0.25">
      <c r="A42"/>
      <c r="B42" s="140">
        <f t="shared" si="0"/>
        <v>44165</v>
      </c>
      <c r="C42" s="91" t="s">
        <v>54</v>
      </c>
      <c r="D42" s="143">
        <v>-860.3</v>
      </c>
      <c r="E42" s="145"/>
      <c r="F42" s="104"/>
      <c r="G42"/>
      <c r="H42"/>
      <c r="I42"/>
      <c r="K42"/>
      <c r="L42"/>
      <c r="M42"/>
      <c r="N42"/>
      <c r="O42"/>
      <c r="P42"/>
      <c r="Q42"/>
    </row>
    <row r="43" spans="1:17" s="101" customFormat="1" ht="14.25" customHeight="1" x14ac:dyDescent="0.25">
      <c r="A43"/>
      <c r="B43" s="140">
        <f t="shared" si="0"/>
        <v>44165</v>
      </c>
      <c r="C43" s="91" t="s">
        <v>55</v>
      </c>
      <c r="D43" s="143">
        <v>-84791.18</v>
      </c>
      <c r="E43" s="145"/>
      <c r="F43" s="104"/>
      <c r="G43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>
        <f t="shared" si="0"/>
        <v>44165</v>
      </c>
      <c r="C44" s="91" t="s">
        <v>56</v>
      </c>
      <c r="D44" s="143">
        <v>-289878.73</v>
      </c>
      <c r="E44" s="146"/>
      <c r="F44" s="147"/>
      <c r="G44" s="93"/>
      <c r="H44" s="148"/>
      <c r="I44" s="148"/>
      <c r="K44"/>
      <c r="L44"/>
      <c r="M44"/>
      <c r="N44"/>
      <c r="O44"/>
      <c r="P44"/>
      <c r="Q44"/>
    </row>
    <row r="45" spans="1:17" s="101" customFormat="1" ht="12" customHeight="1" x14ac:dyDescent="0.25">
      <c r="A45"/>
      <c r="B45" s="149"/>
      <c r="C45" s="150"/>
      <c r="D45" s="151"/>
      <c r="E45" s="152"/>
      <c r="F45" s="153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54" t="s">
        <v>57</v>
      </c>
      <c r="C46"/>
      <c r="D46" s="143"/>
      <c r="E46" s="152"/>
      <c r="F46" s="153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/>
      <c r="C47" s="79"/>
      <c r="D47" s="143"/>
      <c r="E47" s="155"/>
      <c r="F47" s="133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0"/>
      <c r="C48" s="79"/>
      <c r="D48" s="143"/>
      <c r="E48" s="122"/>
      <c r="F48" s="157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40"/>
      <c r="C49" s="79"/>
      <c r="D49" s="122"/>
      <c r="E49" s="158"/>
      <c r="F49" s="157"/>
      <c r="G49" s="94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40"/>
      <c r="C50" s="159"/>
      <c r="D50" s="122"/>
      <c r="E50" s="152"/>
      <c r="F50" s="95"/>
      <c r="G50" s="95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49"/>
      <c r="C51" s="150"/>
      <c r="D51" s="151"/>
      <c r="E51" s="160"/>
      <c r="G51" s="94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/>
      <c r="C52"/>
      <c r="D52" s="122"/>
      <c r="E52" s="161"/>
      <c r="F52" s="161"/>
      <c r="G52" s="96"/>
      <c r="H52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12" t="s">
        <v>58</v>
      </c>
      <c r="C53"/>
      <c r="D53" s="122">
        <f>SUM(D4:D44)</f>
        <v>-220552.69999999992</v>
      </c>
      <c r="E53" s="161"/>
      <c r="F53" s="122"/>
      <c r="G53" s="97"/>
      <c r="H53" s="133"/>
      <c r="I53"/>
      <c r="K53"/>
      <c r="L53"/>
      <c r="M53"/>
      <c r="N53"/>
      <c r="O53"/>
      <c r="P53"/>
      <c r="Q53"/>
    </row>
    <row r="54" spans="1:17" s="101" customFormat="1" x14ac:dyDescent="0.25">
      <c r="A54"/>
      <c r="B54" s="112"/>
      <c r="C54"/>
      <c r="D54" s="122"/>
      <c r="E54" s="162"/>
      <c r="F54" s="163"/>
      <c r="G54" s="98"/>
      <c r="H54"/>
      <c r="I54"/>
      <c r="K54"/>
      <c r="L54"/>
      <c r="M54"/>
      <c r="N54"/>
      <c r="O54"/>
      <c r="P54"/>
      <c r="Q54"/>
    </row>
    <row r="55" spans="1:17" x14ac:dyDescent="0.25">
      <c r="B55" s="112" t="s">
        <v>59</v>
      </c>
      <c r="D55" s="122">
        <f>+D47+D48+D49+D50+D51</f>
        <v>0</v>
      </c>
      <c r="E55" s="122"/>
      <c r="F55" s="164" t="s">
        <v>60</v>
      </c>
      <c r="G55" s="98"/>
      <c r="H55" s="133"/>
    </row>
    <row r="56" spans="1:17" x14ac:dyDescent="0.25">
      <c r="B56" s="112" t="s">
        <v>61</v>
      </c>
      <c r="D56" s="122"/>
      <c r="E56" s="147" t="str">
        <f>IF(D57&lt;0,"wire number below","")</f>
        <v/>
      </c>
      <c r="F56" s="164"/>
      <c r="G56" s="98"/>
    </row>
    <row r="57" spans="1:17" x14ac:dyDescent="0.25">
      <c r="B57" s="112" t="s">
        <v>62</v>
      </c>
      <c r="D57" s="165">
        <f>-D59</f>
        <v>220552.69999999992</v>
      </c>
      <c r="E57" s="99"/>
      <c r="F57" s="166"/>
      <c r="G57" s="98"/>
    </row>
    <row r="58" spans="1:17" x14ac:dyDescent="0.25">
      <c r="B58" s="112"/>
      <c r="D58" s="122" t="s">
        <v>16</v>
      </c>
      <c r="E58" s="167"/>
      <c r="F58" s="163"/>
      <c r="G58" s="100"/>
    </row>
    <row r="59" spans="1:17" x14ac:dyDescent="0.25">
      <c r="B59" s="112" t="s">
        <v>63</v>
      </c>
      <c r="D59" s="122">
        <f>+D53+D55</f>
        <v>-220552.69999999992</v>
      </c>
      <c r="E59" s="133"/>
      <c r="F59" s="163"/>
      <c r="G59" s="100"/>
    </row>
    <row r="60" spans="1:17" x14ac:dyDescent="0.25">
      <c r="B60" s="112" t="s">
        <v>64</v>
      </c>
      <c r="D60" s="122">
        <f>+D57+D59</f>
        <v>0</v>
      </c>
      <c r="E60" s="168"/>
      <c r="G60" s="96"/>
      <c r="H60" t="s">
        <v>16</v>
      </c>
    </row>
    <row r="61" spans="1:17" x14ac:dyDescent="0.25">
      <c r="D61" s="122"/>
      <c r="F61" s="133"/>
      <c r="G61" s="94"/>
    </row>
    <row r="62" spans="1:17" x14ac:dyDescent="0.25">
      <c r="B62" s="113"/>
      <c r="C62" s="91"/>
      <c r="D62" s="122"/>
      <c r="G62" s="94"/>
    </row>
    <row r="63" spans="1:17" x14ac:dyDescent="0.25">
      <c r="D63" s="122"/>
      <c r="G63" s="94"/>
    </row>
    <row r="64" spans="1:17" x14ac:dyDescent="0.25">
      <c r="D64" s="122"/>
      <c r="G64" s="94"/>
    </row>
    <row r="65" spans="1:17" x14ac:dyDescent="0.25">
      <c r="D65" s="169"/>
      <c r="E65" s="133"/>
      <c r="G65" s="94"/>
    </row>
    <row r="66" spans="1:17" x14ac:dyDescent="0.25">
      <c r="D66" s="122"/>
      <c r="E66" s="133"/>
      <c r="G66" s="94"/>
    </row>
    <row r="67" spans="1:17" x14ac:dyDescent="0.25">
      <c r="D67" s="122"/>
      <c r="E67" s="133"/>
      <c r="G67" s="94"/>
    </row>
    <row r="68" spans="1:17" x14ac:dyDescent="0.25">
      <c r="D68" s="122"/>
      <c r="G68" s="94"/>
    </row>
    <row r="69" spans="1:17" x14ac:dyDescent="0.25">
      <c r="D69" s="105"/>
      <c r="E69" s="133"/>
      <c r="G69" s="94"/>
    </row>
    <row r="70" spans="1:17" x14ac:dyDescent="0.25">
      <c r="D70" s="122"/>
      <c r="E70" s="133"/>
      <c r="G70" s="94"/>
    </row>
    <row r="71" spans="1:17" s="101" customFormat="1" x14ac:dyDescent="0.25">
      <c r="A71"/>
      <c r="B71"/>
      <c r="C71"/>
      <c r="D71" s="170"/>
      <c r="E71"/>
      <c r="F71"/>
      <c r="G71" s="94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 s="94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22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 t="s">
        <v>93</v>
      </c>
      <c r="F75"/>
      <c r="G75"/>
      <c r="H75"/>
      <c r="I75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 s="122"/>
      <c r="E76" s="122"/>
      <c r="F76"/>
      <c r="G76"/>
      <c r="H76"/>
      <c r="I76"/>
      <c r="K76"/>
      <c r="L76"/>
      <c r="M76"/>
      <c r="N76"/>
      <c r="O76"/>
      <c r="P76"/>
      <c r="Q76"/>
    </row>
    <row r="77" spans="1:17" s="101" customFormat="1" x14ac:dyDescent="0.25">
      <c r="A77"/>
      <c r="B77"/>
      <c r="C77"/>
      <c r="D77" s="170"/>
      <c r="E77"/>
      <c r="F77"/>
      <c r="G77"/>
      <c r="H77"/>
      <c r="I77"/>
      <c r="K77"/>
      <c r="L77"/>
      <c r="M77"/>
      <c r="N77"/>
      <c r="O77"/>
      <c r="P77"/>
      <c r="Q77"/>
    </row>
    <row r="78" spans="1:17" s="101" customFormat="1" x14ac:dyDescent="0.25">
      <c r="A78"/>
      <c r="B78"/>
      <c r="C78"/>
      <c r="D78" s="170"/>
      <c r="E78" s="170"/>
      <c r="F78" s="170"/>
      <c r="G78" s="170"/>
      <c r="H78"/>
      <c r="I78" s="171"/>
      <c r="K78"/>
      <c r="L78"/>
      <c r="M78"/>
      <c r="N78"/>
      <c r="O78"/>
      <c r="P78"/>
      <c r="Q78"/>
    </row>
    <row r="79" spans="1:17" s="101" customFormat="1" x14ac:dyDescent="0.25">
      <c r="A79"/>
      <c r="B79"/>
      <c r="C79"/>
      <c r="D79"/>
      <c r="E79"/>
      <c r="F79" s="172"/>
      <c r="G79"/>
      <c r="H79"/>
      <c r="I79"/>
      <c r="K79"/>
      <c r="L79"/>
      <c r="M79"/>
      <c r="N79"/>
      <c r="O79"/>
      <c r="P79"/>
      <c r="Q79"/>
    </row>
    <row r="81" spans="1:17" s="101" customFormat="1" x14ac:dyDescent="0.25">
      <c r="A81"/>
      <c r="B81"/>
      <c r="C81"/>
      <c r="D81"/>
      <c r="E81" s="171"/>
      <c r="F81"/>
      <c r="G81"/>
      <c r="H81"/>
      <c r="I81"/>
      <c r="K81"/>
      <c r="L81"/>
      <c r="M81"/>
      <c r="N81"/>
      <c r="O81"/>
      <c r="P81"/>
      <c r="Q81"/>
    </row>
    <row r="84" spans="1:17" s="101" customFormat="1" x14ac:dyDescent="0.25">
      <c r="A84"/>
      <c r="B84"/>
      <c r="C84"/>
      <c r="D84"/>
      <c r="E84" s="173"/>
      <c r="F84" s="171"/>
      <c r="G84"/>
      <c r="H84"/>
      <c r="I84"/>
      <c r="K84"/>
      <c r="L84"/>
      <c r="M84"/>
      <c r="N84"/>
      <c r="O84"/>
      <c r="P84"/>
      <c r="Q84"/>
    </row>
    <row r="86" spans="1:17" s="101" customFormat="1" x14ac:dyDescent="0.25">
      <c r="A86"/>
      <c r="B86"/>
      <c r="C86"/>
      <c r="D86"/>
      <c r="E86" s="133"/>
      <c r="F86"/>
      <c r="G86"/>
      <c r="H86"/>
      <c r="I86"/>
      <c r="K86"/>
      <c r="L86"/>
      <c r="M86"/>
      <c r="N86"/>
      <c r="O86"/>
      <c r="P86"/>
      <c r="Q86"/>
    </row>
    <row r="91" spans="1:17" x14ac:dyDescent="0.25">
      <c r="D91" s="174"/>
    </row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DBAB-1426-4CC4-8C3C-634589D67946}">
  <dimension ref="A1:Q88"/>
  <sheetViews>
    <sheetView topLeftCell="A18" workbookViewId="0">
      <selection activeCell="C10" sqref="C10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39.42578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94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'[2]12 02'!B10</f>
        <v>44166</v>
      </c>
      <c r="C5" t="s">
        <v>33</v>
      </c>
      <c r="D5" s="92">
        <v>114930.66</v>
      </c>
      <c r="E5" s="118"/>
      <c r="F5" s="113"/>
      <c r="J5" s="102"/>
    </row>
    <row r="6" spans="1:10" x14ac:dyDescent="0.25">
      <c r="A6" s="116" t="s">
        <v>34</v>
      </c>
      <c r="B6" s="113">
        <f>+B5+1</f>
        <v>44167</v>
      </c>
      <c r="C6" t="s">
        <v>35</v>
      </c>
      <c r="D6" s="92">
        <v>166059.67000000001</v>
      </c>
      <c r="E6" s="119"/>
      <c r="F6" s="113"/>
    </row>
    <row r="7" spans="1:10" x14ac:dyDescent="0.25">
      <c r="A7" s="116" t="s">
        <v>36</v>
      </c>
      <c r="B7" s="113">
        <f>+B6+1</f>
        <v>44168</v>
      </c>
      <c r="C7" t="s">
        <v>33</v>
      </c>
      <c r="D7" s="92">
        <v>233557.42</v>
      </c>
      <c r="E7" s="120"/>
      <c r="F7" s="113"/>
    </row>
    <row r="8" spans="1:10" x14ac:dyDescent="0.25">
      <c r="A8" s="116" t="s">
        <v>37</v>
      </c>
      <c r="B8" s="113">
        <f>+B7+1</f>
        <v>44169</v>
      </c>
      <c r="C8" t="s">
        <v>33</v>
      </c>
      <c r="D8" s="92">
        <v>161462.13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44172</v>
      </c>
      <c r="C9" t="s">
        <v>33</v>
      </c>
      <c r="D9" s="92">
        <v>107956.49</v>
      </c>
      <c r="E9" s="121"/>
      <c r="F9" s="113"/>
    </row>
    <row r="10" spans="1:10" x14ac:dyDescent="0.25">
      <c r="B10" s="113">
        <f>+$B$9+1</f>
        <v>44173</v>
      </c>
      <c r="C10" s="91" t="s">
        <v>39</v>
      </c>
      <c r="D10" s="122">
        <f>-9927.16-1356372.45</f>
        <v>-1366299.6099999999</v>
      </c>
      <c r="E10" s="91" t="s">
        <v>95</v>
      </c>
      <c r="F10" s="123"/>
      <c r="G10" s="91"/>
    </row>
    <row r="11" spans="1:10" x14ac:dyDescent="0.25">
      <c r="B11" s="113">
        <f>+$B$9+1</f>
        <v>44173</v>
      </c>
      <c r="C11" t="s">
        <v>40</v>
      </c>
      <c r="D11" s="124">
        <v>350</v>
      </c>
      <c r="E11" s="178"/>
      <c r="F11" s="126"/>
    </row>
    <row r="12" spans="1:10" x14ac:dyDescent="0.25">
      <c r="B12" s="113">
        <f>B9</f>
        <v>44172</v>
      </c>
      <c r="C12" s="91" t="s">
        <v>41</v>
      </c>
      <c r="D12" s="124"/>
      <c r="E12" s="125"/>
    </row>
    <row r="13" spans="1:10" x14ac:dyDescent="0.25">
      <c r="B13" s="113">
        <f>B9</f>
        <v>44172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44140</v>
      </c>
      <c r="C15" s="179" t="s">
        <v>96</v>
      </c>
      <c r="D15" s="122">
        <v>37</v>
      </c>
      <c r="E15" s="91"/>
      <c r="F15" s="132"/>
    </row>
    <row r="16" spans="1:10" x14ac:dyDescent="0.25">
      <c r="B16" s="131">
        <v>44168</v>
      </c>
      <c r="C16" s="179" t="s">
        <v>97</v>
      </c>
      <c r="D16" s="122">
        <v>-1692520</v>
      </c>
      <c r="E16" s="120"/>
      <c r="F16" s="133"/>
    </row>
    <row r="17" spans="2:17" x14ac:dyDescent="0.25">
      <c r="B17" s="131">
        <v>44172</v>
      </c>
      <c r="C17" s="179" t="s">
        <v>98</v>
      </c>
      <c r="D17" s="122">
        <v>-1</v>
      </c>
      <c r="E17" s="120"/>
      <c r="F17" s="133"/>
      <c r="G17" s="91"/>
    </row>
    <row r="18" spans="2:17" x14ac:dyDescent="0.25">
      <c r="B18" s="113">
        <v>44173</v>
      </c>
      <c r="C18" s="79" t="s">
        <v>99</v>
      </c>
      <c r="D18" s="122">
        <f>-25-115.73-109.22-50-144.66-115.73-109</f>
        <v>-669.34</v>
      </c>
      <c r="E18" s="120"/>
      <c r="F18" s="133"/>
      <c r="G18" s="91"/>
    </row>
    <row r="19" spans="2:17" x14ac:dyDescent="0.25">
      <c r="B19" s="113">
        <v>44168</v>
      </c>
      <c r="C19" s="79" t="s">
        <v>100</v>
      </c>
      <c r="D19" s="122">
        <v>1692520</v>
      </c>
      <c r="E19" s="120"/>
      <c r="F19" s="133"/>
      <c r="G19" s="91"/>
    </row>
    <row r="20" spans="2:17" x14ac:dyDescent="0.25">
      <c r="B20" s="113"/>
      <c r="C20" s="79"/>
      <c r="D20" s="122"/>
      <c r="E20" s="120"/>
      <c r="F20" s="133"/>
      <c r="G20" s="91"/>
    </row>
    <row r="21" spans="2:17" x14ac:dyDescent="0.25">
      <c r="B21" s="113"/>
      <c r="C21" s="79"/>
      <c r="D21" s="122"/>
      <c r="E21" s="120"/>
      <c r="F21" s="133"/>
      <c r="G21" s="91"/>
    </row>
    <row r="22" spans="2:17" s="128" customFormat="1" x14ac:dyDescent="0.25">
      <c r="B22" s="129"/>
      <c r="D22" s="130"/>
      <c r="E22" s="130"/>
      <c r="J22" s="103"/>
    </row>
    <row r="23" spans="2:17" x14ac:dyDescent="0.25">
      <c r="B23" s="113"/>
      <c r="C23" t="s">
        <v>43</v>
      </c>
      <c r="D23" s="122"/>
      <c r="E23" s="120"/>
      <c r="J23" s="102"/>
    </row>
    <row r="24" spans="2:17" x14ac:dyDescent="0.25">
      <c r="B24" s="113"/>
      <c r="C24" s="79" t="s">
        <v>44</v>
      </c>
      <c r="D24" s="122"/>
      <c r="E24" s="134"/>
      <c r="J24" s="102"/>
    </row>
    <row r="25" spans="2:17" x14ac:dyDescent="0.25">
      <c r="B25" s="113"/>
      <c r="C25" s="79" t="s">
        <v>45</v>
      </c>
      <c r="D25" s="122"/>
      <c r="E25" s="135"/>
      <c r="F25" s="133"/>
      <c r="J25" s="102"/>
    </row>
    <row r="26" spans="2:17" ht="12.75" customHeight="1" x14ac:dyDescent="0.25">
      <c r="B26" s="113"/>
      <c r="C26" s="91" t="s">
        <v>46</v>
      </c>
      <c r="D26" s="122"/>
      <c r="E26" s="135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x14ac:dyDescent="0.25">
      <c r="B27" s="136"/>
      <c r="C27" s="137"/>
      <c r="D27" s="138"/>
      <c r="E27" s="139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</row>
    <row r="28" spans="2:17" ht="13.5" customHeight="1" x14ac:dyDescent="0.25">
      <c r="B28" s="140">
        <f>B29</f>
        <v>44173</v>
      </c>
      <c r="C28" s="91" t="s">
        <v>47</v>
      </c>
      <c r="D28" s="141">
        <f>-300-5093.92-886.28-20000-10000-10000-20000-20000-26117.73-10000-20000-10000-10000-20000-20000-10000-21969.15</f>
        <v>-234367.08</v>
      </c>
      <c r="E28" s="79"/>
      <c r="H28" s="91"/>
    </row>
    <row r="29" spans="2:17" ht="13.5" customHeight="1" x14ac:dyDescent="0.25">
      <c r="B29" s="140">
        <f>B30</f>
        <v>44173</v>
      </c>
      <c r="C29" s="91" t="s">
        <v>65</v>
      </c>
      <c r="D29" s="141">
        <v>-104367.43</v>
      </c>
      <c r="E29" s="79"/>
      <c r="H29" s="91"/>
    </row>
    <row r="30" spans="2:17" ht="13.5" customHeight="1" x14ac:dyDescent="0.25">
      <c r="B30" s="140">
        <f>B31+1</f>
        <v>44173</v>
      </c>
      <c r="C30" s="177" t="s">
        <v>66</v>
      </c>
      <c r="D30" s="141"/>
      <c r="E30" s="91"/>
      <c r="H30" s="91"/>
    </row>
    <row r="31" spans="2:17" ht="13.5" customHeight="1" x14ac:dyDescent="0.25">
      <c r="B31" s="140">
        <f>B9</f>
        <v>44172</v>
      </c>
      <c r="C31" s="91" t="s">
        <v>48</v>
      </c>
      <c r="D31" s="141">
        <v>-4422.2299999999996</v>
      </c>
      <c r="E31" s="91"/>
      <c r="H31" s="91"/>
    </row>
    <row r="32" spans="2:17" ht="13.5" customHeight="1" x14ac:dyDescent="0.25">
      <c r="B32" s="140">
        <f>B28+1</f>
        <v>44174</v>
      </c>
      <c r="C32" s="91" t="s">
        <v>49</v>
      </c>
      <c r="D32" s="141">
        <v>-108679.36</v>
      </c>
      <c r="E32" s="91"/>
      <c r="H32" s="91"/>
    </row>
    <row r="33" spans="1:17" x14ac:dyDescent="0.25">
      <c r="B33" s="140">
        <f>B32</f>
        <v>44174</v>
      </c>
      <c r="C33" s="175" t="s">
        <v>92</v>
      </c>
      <c r="D33" s="141"/>
      <c r="E33" s="91"/>
    </row>
    <row r="34" spans="1:17" x14ac:dyDescent="0.25">
      <c r="B34" s="140"/>
      <c r="C34" t="s">
        <v>50</v>
      </c>
      <c r="D34" s="141">
        <v>-4000</v>
      </c>
      <c r="E34" s="120"/>
    </row>
    <row r="35" spans="1:17" s="101" customFormat="1" x14ac:dyDescent="0.25">
      <c r="A35"/>
      <c r="B35" s="140"/>
      <c r="C35" t="s">
        <v>51</v>
      </c>
      <c r="D35" s="124">
        <f>-605-605</f>
        <v>-1210</v>
      </c>
      <c r="E35" s="142">
        <f>SUM(D28:D35)</f>
        <v>-457046.1</v>
      </c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>$B$9</f>
        <v>44172</v>
      </c>
      <c r="C36" s="91" t="s">
        <v>52</v>
      </c>
      <c r="D36" s="122"/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ref="B37:B41" si="0">$B$9</f>
        <v>44172</v>
      </c>
      <c r="C37" s="91" t="s">
        <v>53</v>
      </c>
      <c r="D37" s="122"/>
      <c r="E37" s="133"/>
      <c r="F37"/>
      <c r="G37"/>
      <c r="H37"/>
      <c r="I37"/>
      <c r="K37"/>
      <c r="L37"/>
      <c r="M37"/>
      <c r="N37"/>
      <c r="O37"/>
      <c r="P37"/>
      <c r="Q37"/>
    </row>
    <row r="38" spans="1:17" s="101" customFormat="1" x14ac:dyDescent="0.25">
      <c r="A38"/>
      <c r="B38" s="140">
        <f t="shared" si="0"/>
        <v>44172</v>
      </c>
      <c r="C38" s="91" t="s">
        <v>67</v>
      </c>
      <c r="D38" s="143"/>
      <c r="E38" s="144"/>
      <c r="F38" s="133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44172</v>
      </c>
      <c r="C39" s="91" t="s">
        <v>54</v>
      </c>
      <c r="D39" s="143"/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ht="14.25" customHeight="1" x14ac:dyDescent="0.25">
      <c r="A40"/>
      <c r="B40" s="140">
        <f t="shared" si="0"/>
        <v>44172</v>
      </c>
      <c r="C40" s="91" t="s">
        <v>55</v>
      </c>
      <c r="D40" s="143"/>
      <c r="E40" s="145"/>
      <c r="F40" s="104"/>
      <c r="G40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40">
        <f t="shared" si="0"/>
        <v>44172</v>
      </c>
      <c r="C41" s="91" t="s">
        <v>56</v>
      </c>
      <c r="D41" s="143"/>
      <c r="E41" s="146"/>
      <c r="F41" s="147"/>
      <c r="G41" s="93"/>
      <c r="H41" s="148"/>
      <c r="I41" s="148"/>
      <c r="K41"/>
      <c r="L41"/>
      <c r="M41"/>
      <c r="N41"/>
      <c r="O41"/>
      <c r="P41"/>
      <c r="Q41"/>
    </row>
    <row r="42" spans="1:17" s="101" customFormat="1" ht="12" customHeight="1" x14ac:dyDescent="0.25">
      <c r="A42"/>
      <c r="B42" s="149"/>
      <c r="C42" s="150"/>
      <c r="D42" s="151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54" t="s">
        <v>57</v>
      </c>
      <c r="C43"/>
      <c r="D43" s="143"/>
      <c r="E43" s="152"/>
      <c r="F43" s="15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5"/>
      <c r="F44" s="133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43"/>
      <c r="E45" s="156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79"/>
      <c r="D46" s="122"/>
      <c r="E46" s="158"/>
      <c r="F46" s="157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/>
      <c r="C47" s="159"/>
      <c r="D47" s="122"/>
      <c r="E47" s="152"/>
      <c r="F47" s="95"/>
      <c r="G47" s="95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9"/>
      <c r="C48" s="150"/>
      <c r="D48" s="151"/>
      <c r="E48" s="160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/>
      <c r="C49"/>
      <c r="D49" s="122"/>
      <c r="E49" s="161"/>
      <c r="F49" s="161"/>
      <c r="G49" s="96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 t="s">
        <v>58</v>
      </c>
      <c r="C50"/>
      <c r="D50" s="122">
        <f>SUM(D4:D41)</f>
        <v>-1039662.6799999996</v>
      </c>
      <c r="E50" s="161"/>
      <c r="F50" s="122"/>
      <c r="G50" s="97"/>
      <c r="H50" s="133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12"/>
      <c r="C51"/>
      <c r="D51" s="122"/>
      <c r="E51" s="162"/>
      <c r="F51" s="163"/>
      <c r="G51" s="98"/>
      <c r="H51"/>
      <c r="I51"/>
      <c r="K51"/>
      <c r="L51"/>
      <c r="M51"/>
      <c r="N51"/>
      <c r="O51"/>
      <c r="P51"/>
      <c r="Q51"/>
    </row>
    <row r="52" spans="1:17" x14ac:dyDescent="0.25">
      <c r="B52" s="112" t="s">
        <v>59</v>
      </c>
      <c r="D52" s="122">
        <f>+D44+D45+D46+D47+D48</f>
        <v>0</v>
      </c>
      <c r="E52" s="122"/>
      <c r="F52" s="164" t="s">
        <v>60</v>
      </c>
      <c r="G52" s="98"/>
      <c r="H52" s="133"/>
    </row>
    <row r="53" spans="1:17" x14ac:dyDescent="0.25">
      <c r="B53" s="112" t="s">
        <v>61</v>
      </c>
      <c r="D53" s="122"/>
      <c r="E53" s="147" t="str">
        <f>IF(D54&lt;0,"wire number below","")</f>
        <v/>
      </c>
      <c r="F53" s="164"/>
      <c r="G53" s="98"/>
    </row>
    <row r="54" spans="1:17" x14ac:dyDescent="0.25">
      <c r="B54" s="112" t="s">
        <v>62</v>
      </c>
      <c r="D54" s="165">
        <f>-D56</f>
        <v>1039662.6799999996</v>
      </c>
      <c r="E54" s="99"/>
      <c r="F54" s="166"/>
      <c r="G54" s="98"/>
    </row>
    <row r="55" spans="1:17" x14ac:dyDescent="0.25">
      <c r="B55" s="112"/>
      <c r="D55" s="122" t="s">
        <v>16</v>
      </c>
      <c r="E55" s="167"/>
      <c r="F55" s="163"/>
      <c r="G55" s="100"/>
    </row>
    <row r="56" spans="1:17" x14ac:dyDescent="0.25">
      <c r="B56" s="112" t="s">
        <v>63</v>
      </c>
      <c r="D56" s="122">
        <f>+D50+D52</f>
        <v>-1039662.6799999996</v>
      </c>
      <c r="E56" s="133"/>
      <c r="F56" s="163"/>
      <c r="G56" s="100"/>
    </row>
    <row r="57" spans="1:17" x14ac:dyDescent="0.25">
      <c r="B57" s="112" t="s">
        <v>64</v>
      </c>
      <c r="D57" s="122">
        <f>+D54+D56</f>
        <v>0</v>
      </c>
      <c r="E57" s="168"/>
      <c r="G57" s="96"/>
      <c r="H57" t="s">
        <v>16</v>
      </c>
    </row>
    <row r="58" spans="1:17" x14ac:dyDescent="0.25">
      <c r="D58" s="122"/>
      <c r="F58" s="133"/>
      <c r="G58" s="94"/>
    </row>
    <row r="59" spans="1:17" x14ac:dyDescent="0.25">
      <c r="B59" s="113"/>
      <c r="C59" s="91"/>
      <c r="D59" s="122"/>
      <c r="G59" s="94"/>
    </row>
    <row r="60" spans="1:17" x14ac:dyDescent="0.25">
      <c r="D60" s="122"/>
      <c r="G60" s="94"/>
    </row>
    <row r="61" spans="1:17" x14ac:dyDescent="0.25">
      <c r="D61" s="122"/>
      <c r="G61" s="94"/>
    </row>
    <row r="62" spans="1:17" x14ac:dyDescent="0.25">
      <c r="D62" s="169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E64" s="133"/>
      <c r="G64" s="94"/>
    </row>
    <row r="65" spans="1:17" x14ac:dyDescent="0.25">
      <c r="D65" s="122"/>
      <c r="G65" s="94"/>
    </row>
    <row r="66" spans="1:17" x14ac:dyDescent="0.25">
      <c r="D66" s="105"/>
      <c r="E66" s="133"/>
      <c r="G66" s="94"/>
    </row>
    <row r="67" spans="1:17" x14ac:dyDescent="0.25">
      <c r="D67" s="122"/>
      <c r="E67" s="133"/>
      <c r="G67" s="94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 s="94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70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22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22"/>
      <c r="E73" s="122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 s="170"/>
      <c r="F75" s="170"/>
      <c r="G75" s="170"/>
      <c r="H75"/>
      <c r="I75" s="171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/>
      <c r="E76"/>
      <c r="F76" s="172"/>
      <c r="G76"/>
      <c r="H76"/>
      <c r="I76"/>
      <c r="K76"/>
      <c r="L76"/>
      <c r="M76"/>
      <c r="N76"/>
      <c r="O76"/>
      <c r="P76"/>
      <c r="Q76"/>
    </row>
    <row r="78" spans="1:17" s="101" customFormat="1" x14ac:dyDescent="0.25">
      <c r="A78"/>
      <c r="B78"/>
      <c r="C78"/>
      <c r="D78"/>
      <c r="E78" s="171"/>
      <c r="F78"/>
      <c r="G78"/>
      <c r="H78"/>
      <c r="I78"/>
      <c r="K78"/>
      <c r="L78"/>
      <c r="M78"/>
      <c r="N78"/>
      <c r="O78"/>
      <c r="P78"/>
      <c r="Q78"/>
    </row>
    <row r="81" spans="1:17" s="101" customFormat="1" x14ac:dyDescent="0.25">
      <c r="A81"/>
      <c r="B81"/>
      <c r="C81"/>
      <c r="D81"/>
      <c r="E81" s="173"/>
      <c r="F81" s="171"/>
      <c r="G81"/>
      <c r="H81"/>
      <c r="I81"/>
      <c r="K81"/>
      <c r="L81"/>
      <c r="M81"/>
      <c r="N81"/>
      <c r="O81"/>
      <c r="P81"/>
      <c r="Q81"/>
    </row>
    <row r="83" spans="1:17" s="101" customFormat="1" x14ac:dyDescent="0.25">
      <c r="A83"/>
      <c r="B83"/>
      <c r="C83"/>
      <c r="D83"/>
      <c r="E83" s="133"/>
      <c r="F83"/>
      <c r="G83"/>
      <c r="H83"/>
      <c r="I83"/>
      <c r="K83"/>
      <c r="L83"/>
      <c r="M83"/>
      <c r="N83"/>
      <c r="O83"/>
      <c r="P83"/>
      <c r="Q83"/>
    </row>
    <row r="88" spans="1:17" x14ac:dyDescent="0.25">
      <c r="D88" s="1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96A-9A70-4D41-9C90-6C2C7030102C}">
  <dimension ref="A1:Q87"/>
  <sheetViews>
    <sheetView topLeftCell="A22" workbookViewId="0">
      <selection activeCell="C16" sqref="C16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101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'[2]12 09'!B10</f>
        <v>44173</v>
      </c>
      <c r="C5" t="s">
        <v>33</v>
      </c>
      <c r="D5" s="92">
        <v>407540.69</v>
      </c>
      <c r="E5" s="118"/>
      <c r="F5" s="113"/>
      <c r="J5" s="102"/>
    </row>
    <row r="6" spans="1:10" x14ac:dyDescent="0.25">
      <c r="A6" s="116" t="s">
        <v>34</v>
      </c>
      <c r="B6" s="113">
        <f>+B5+1</f>
        <v>44174</v>
      </c>
      <c r="C6" t="s">
        <v>35</v>
      </c>
      <c r="D6" s="92">
        <v>279675.65999999997</v>
      </c>
      <c r="E6" s="119"/>
      <c r="F6" s="113"/>
    </row>
    <row r="7" spans="1:10" x14ac:dyDescent="0.25">
      <c r="A7" s="116" t="s">
        <v>36</v>
      </c>
      <c r="B7" s="113">
        <f>+B6+1</f>
        <v>44175</v>
      </c>
      <c r="C7" t="s">
        <v>33</v>
      </c>
      <c r="D7" s="92">
        <v>3081706.31</v>
      </c>
      <c r="E7" s="120"/>
      <c r="F7" s="113"/>
    </row>
    <row r="8" spans="1:10" x14ac:dyDescent="0.25">
      <c r="A8" s="116" t="s">
        <v>37</v>
      </c>
      <c r="B8" s="113">
        <f>+B7+1</f>
        <v>44176</v>
      </c>
      <c r="C8" t="s">
        <v>33</v>
      </c>
      <c r="D8" s="92">
        <v>314053.31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44179</v>
      </c>
      <c r="C9" t="s">
        <v>33</v>
      </c>
      <c r="D9" s="92">
        <v>163300.4</v>
      </c>
      <c r="E9" s="121"/>
      <c r="F9" s="113"/>
    </row>
    <row r="10" spans="1:10" x14ac:dyDescent="0.25">
      <c r="B10" s="113">
        <f>+$B$9+1</f>
        <v>44180</v>
      </c>
      <c r="C10" s="91" t="s">
        <v>39</v>
      </c>
      <c r="D10" s="92">
        <f>-143.24-136260.09-88430.49-22483.89-836233.48</f>
        <v>-1083551.19</v>
      </c>
      <c r="E10" s="91" t="s">
        <v>102</v>
      </c>
      <c r="F10" s="123"/>
      <c r="G10" s="91"/>
    </row>
    <row r="11" spans="1:10" x14ac:dyDescent="0.25">
      <c r="B11" s="113">
        <f>+$B$9+1</f>
        <v>44180</v>
      </c>
      <c r="C11" t="s">
        <v>40</v>
      </c>
      <c r="D11" s="124">
        <f>35+150</f>
        <v>185</v>
      </c>
      <c r="E11" s="125"/>
      <c r="F11" s="126"/>
    </row>
    <row r="12" spans="1:10" x14ac:dyDescent="0.25">
      <c r="B12" s="113">
        <f>B9</f>
        <v>44179</v>
      </c>
      <c r="C12" s="91" t="s">
        <v>41</v>
      </c>
      <c r="D12" s="122">
        <v>-5481.73</v>
      </c>
      <c r="E12" s="176" t="s">
        <v>103</v>
      </c>
    </row>
    <row r="13" spans="1:10" x14ac:dyDescent="0.25">
      <c r="B13" s="113">
        <f>B9</f>
        <v>44179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44174</v>
      </c>
      <c r="C15" s="180" t="s">
        <v>99</v>
      </c>
      <c r="D15" s="122">
        <f>-347.19-41.73-3540.71+1679.95-115.73-94.34-115.73-285.39-119</f>
        <v>-2979.8700000000003</v>
      </c>
      <c r="E15" s="91"/>
      <c r="F15" s="132"/>
    </row>
    <row r="16" spans="1:10" x14ac:dyDescent="0.25">
      <c r="B16" s="131">
        <v>44106</v>
      </c>
      <c r="C16" s="79" t="s">
        <v>104</v>
      </c>
      <c r="D16" s="122">
        <v>878.99</v>
      </c>
      <c r="E16" s="120"/>
      <c r="F16" s="133"/>
    </row>
    <row r="17" spans="2:17" x14ac:dyDescent="0.25">
      <c r="B17" s="131">
        <v>44175</v>
      </c>
      <c r="C17" s="79" t="s">
        <v>105</v>
      </c>
      <c r="D17" s="122">
        <v>-2920.8</v>
      </c>
      <c r="E17" s="120"/>
      <c r="F17" s="133"/>
      <c r="G17" s="91"/>
    </row>
    <row r="18" spans="2:17" x14ac:dyDescent="0.25">
      <c r="B18" s="113">
        <v>44176</v>
      </c>
      <c r="C18" s="79" t="s">
        <v>70</v>
      </c>
      <c r="D18" s="122">
        <v>3764.1</v>
      </c>
      <c r="E18" s="120"/>
      <c r="F18" s="133"/>
      <c r="G18" s="91"/>
    </row>
    <row r="19" spans="2:17" x14ac:dyDescent="0.25">
      <c r="B19" s="131">
        <v>44167</v>
      </c>
      <c r="C19" s="181" t="s">
        <v>106</v>
      </c>
      <c r="D19" s="122">
        <v>-111.4</v>
      </c>
      <c r="E19" s="182"/>
      <c r="F19" s="133"/>
      <c r="G19" s="91"/>
    </row>
    <row r="20" spans="2:17" x14ac:dyDescent="0.25">
      <c r="B20" s="131">
        <v>44180</v>
      </c>
      <c r="C20" s="181" t="s">
        <v>107</v>
      </c>
      <c r="D20" s="122">
        <v>-1604331.54</v>
      </c>
      <c r="E20" s="183"/>
      <c r="F20" s="133"/>
      <c r="G20" s="91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>
        <v>341312.53</v>
      </c>
      <c r="E22" s="120"/>
      <c r="J22" s="102"/>
    </row>
    <row r="23" spans="2:17" x14ac:dyDescent="0.25">
      <c r="B23" s="113"/>
      <c r="C23" s="79" t="s">
        <v>44</v>
      </c>
      <c r="D23" s="122"/>
      <c r="E23" s="134"/>
      <c r="J23" s="102"/>
    </row>
    <row r="24" spans="2:17" x14ac:dyDescent="0.25">
      <c r="B24" s="113"/>
      <c r="C24" s="79" t="s">
        <v>45</v>
      </c>
      <c r="D24" s="122"/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44180</v>
      </c>
      <c r="C27" s="91" t="s">
        <v>47</v>
      </c>
      <c r="D27" s="141">
        <f>-10000-10843.7-10000-20000-10000-878.99-12073-20000-10000-30000-10000-20390.66-20000-10000-28063.04-27205.51-1125000</f>
        <v>-1374454.9</v>
      </c>
      <c r="E27" s="79"/>
      <c r="H27" s="91"/>
    </row>
    <row r="28" spans="2:17" ht="13.5" customHeight="1" x14ac:dyDescent="0.25">
      <c r="B28" s="140">
        <f>B29</f>
        <v>44180</v>
      </c>
      <c r="C28" s="91" t="s">
        <v>68</v>
      </c>
      <c r="D28" s="141">
        <v>-232741.61</v>
      </c>
      <c r="E28" s="79"/>
      <c r="H28" s="91"/>
    </row>
    <row r="29" spans="2:17" ht="13.5" customHeight="1" x14ac:dyDescent="0.25">
      <c r="B29" s="140">
        <f>B30+1</f>
        <v>44180</v>
      </c>
      <c r="C29" s="91" t="s">
        <v>66</v>
      </c>
      <c r="D29" s="141">
        <f>-4943.12-101.34</f>
        <v>-5044.46</v>
      </c>
      <c r="E29" s="91"/>
      <c r="H29" s="91"/>
    </row>
    <row r="30" spans="2:17" ht="13.5" customHeight="1" x14ac:dyDescent="0.25">
      <c r="B30" s="140">
        <f>B9</f>
        <v>44179</v>
      </c>
      <c r="C30" s="91" t="s">
        <v>48</v>
      </c>
      <c r="D30" s="141">
        <v>-1858.06</v>
      </c>
      <c r="E30" s="91"/>
      <c r="H30" s="91"/>
    </row>
    <row r="31" spans="2:17" ht="13.5" customHeight="1" x14ac:dyDescent="0.25">
      <c r="B31" s="140">
        <f>B27+1</f>
        <v>44181</v>
      </c>
      <c r="C31" s="91" t="s">
        <v>49</v>
      </c>
      <c r="D31" s="141">
        <v>-45460.71</v>
      </c>
      <c r="E31" s="91"/>
      <c r="H31" s="91"/>
    </row>
    <row r="32" spans="2:17" x14ac:dyDescent="0.25">
      <c r="B32" s="140">
        <f>B31</f>
        <v>44181</v>
      </c>
      <c r="C32" s="175" t="s">
        <v>108</v>
      </c>
      <c r="D32" s="141"/>
      <c r="E32" s="91"/>
    </row>
    <row r="33" spans="1:17" x14ac:dyDescent="0.25">
      <c r="B33" s="140"/>
      <c r="C33" t="s">
        <v>50</v>
      </c>
      <c r="D33" s="141"/>
      <c r="E33" s="120"/>
    </row>
    <row r="34" spans="1:17" s="101" customFormat="1" x14ac:dyDescent="0.25">
      <c r="A34"/>
      <c r="B34" s="140"/>
      <c r="C34" t="s">
        <v>51</v>
      </c>
      <c r="D34" s="124">
        <v>-50</v>
      </c>
      <c r="E34" s="142">
        <f>SUM(D27:D34)</f>
        <v>-1659609.7399999998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44179</v>
      </c>
      <c r="C35" s="91" t="s">
        <v>52</v>
      </c>
      <c r="D35" s="122">
        <f>-1133052.51-7015.68</f>
        <v>-1140068.19</v>
      </c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44179</v>
      </c>
      <c r="C36" s="91" t="s">
        <v>53</v>
      </c>
      <c r="D36" s="122">
        <v>-1506962.55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44179</v>
      </c>
      <c r="C37" s="91" t="s">
        <v>69</v>
      </c>
      <c r="D37" s="143">
        <v>-10728.03</v>
      </c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44179</v>
      </c>
      <c r="C38" s="91" t="s">
        <v>54</v>
      </c>
      <c r="D38" s="143">
        <v>-1560.5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44179</v>
      </c>
      <c r="C39" s="91" t="s">
        <v>55</v>
      </c>
      <c r="D39" s="143">
        <v>-82544.039999999994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44179</v>
      </c>
      <c r="C40" s="91" t="s">
        <v>56</v>
      </c>
      <c r="D40" s="143">
        <v>-288280.98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-2796713.5699999989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/>
      </c>
      <c r="F52" s="164"/>
      <c r="G52" s="98"/>
    </row>
    <row r="53" spans="1:17" x14ac:dyDescent="0.25">
      <c r="B53" s="112" t="s">
        <v>62</v>
      </c>
      <c r="D53" s="165">
        <f>-D55</f>
        <v>2796713.5699999989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-2796713.5699999989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2463-0C05-47BC-8C13-343455B5E372}">
  <dimension ref="A1:Q87"/>
  <sheetViews>
    <sheetView topLeftCell="A13" zoomScaleNormal="100" workbookViewId="0">
      <selection activeCell="D10" sqref="D10"/>
    </sheetView>
  </sheetViews>
  <sheetFormatPr defaultColWidth="9.140625" defaultRowHeight="15" x14ac:dyDescent="0.25"/>
  <cols>
    <col min="1" max="1" width="2.42578125" style="190" customWidth="1"/>
    <col min="2" max="2" width="13" style="190" customWidth="1"/>
    <col min="3" max="3" width="68.5703125" style="190" customWidth="1"/>
    <col min="4" max="4" width="16.140625" style="201" customWidth="1"/>
    <col min="5" max="5" width="20.5703125" style="190" customWidth="1"/>
    <col min="6" max="6" width="30.140625" style="190" customWidth="1"/>
    <col min="7" max="7" width="15.85546875" style="190" customWidth="1"/>
    <col min="8" max="8" width="14.7109375" style="190" customWidth="1"/>
    <col min="9" max="9" width="9.140625" style="190"/>
    <col min="10" max="10" width="11.85546875" style="101" customWidth="1"/>
    <col min="11" max="16384" width="9.140625" style="190"/>
  </cols>
  <sheetData>
    <row r="1" spans="1:10" ht="19.5" x14ac:dyDescent="0.4">
      <c r="A1" s="186" t="s">
        <v>16</v>
      </c>
      <c r="B1" s="187" t="s">
        <v>109</v>
      </c>
      <c r="C1" s="188"/>
      <c r="D1" s="189"/>
      <c r="E1" s="189"/>
    </row>
    <row r="2" spans="1:10" x14ac:dyDescent="0.25">
      <c r="B2" s="191"/>
      <c r="C2" s="191"/>
      <c r="D2" s="191"/>
      <c r="E2" s="191"/>
      <c r="F2" s="191"/>
      <c r="G2" s="191"/>
    </row>
    <row r="4" spans="1:10" x14ac:dyDescent="0.25">
      <c r="B4" s="192"/>
      <c r="C4" s="191" t="s">
        <v>31</v>
      </c>
      <c r="D4" s="92"/>
      <c r="E4" s="193"/>
      <c r="F4" s="194"/>
      <c r="G4" s="194"/>
      <c r="J4" s="102"/>
    </row>
    <row r="5" spans="1:10" x14ac:dyDescent="0.25">
      <c r="A5" s="195" t="s">
        <v>32</v>
      </c>
      <c r="B5" s="196">
        <f>'[2]12 16'!B10</f>
        <v>44180</v>
      </c>
      <c r="C5" s="190" t="s">
        <v>33</v>
      </c>
      <c r="D5" s="92">
        <v>84139.16</v>
      </c>
      <c r="E5" s="197"/>
      <c r="F5" s="192"/>
      <c r="J5" s="102"/>
    </row>
    <row r="6" spans="1:10" x14ac:dyDescent="0.25">
      <c r="A6" s="195" t="s">
        <v>34</v>
      </c>
      <c r="B6" s="192">
        <f>+B5+1</f>
        <v>44181</v>
      </c>
      <c r="C6" s="190" t="s">
        <v>35</v>
      </c>
      <c r="D6" s="92">
        <v>113878.68</v>
      </c>
      <c r="E6" s="198"/>
      <c r="F6" s="192"/>
    </row>
    <row r="7" spans="1:10" x14ac:dyDescent="0.25">
      <c r="A7" s="195" t="s">
        <v>36</v>
      </c>
      <c r="B7" s="192">
        <f>+B6+1</f>
        <v>44182</v>
      </c>
      <c r="C7" s="190" t="s">
        <v>33</v>
      </c>
      <c r="D7" s="92">
        <v>257821.98</v>
      </c>
      <c r="E7" s="199"/>
      <c r="F7" s="192"/>
    </row>
    <row r="8" spans="1:10" x14ac:dyDescent="0.25">
      <c r="A8" s="195" t="s">
        <v>37</v>
      </c>
      <c r="B8" s="192">
        <f>+B7+1</f>
        <v>44183</v>
      </c>
      <c r="C8" s="190" t="s">
        <v>33</v>
      </c>
      <c r="D8" s="92">
        <v>340109.77</v>
      </c>
      <c r="E8" s="198"/>
      <c r="F8" s="192"/>
    </row>
    <row r="9" spans="1:10" x14ac:dyDescent="0.25">
      <c r="A9" s="195" t="s">
        <v>38</v>
      </c>
      <c r="B9" s="192">
        <f>+B8+3</f>
        <v>44186</v>
      </c>
      <c r="C9" s="190" t="s">
        <v>33</v>
      </c>
      <c r="D9" s="92">
        <v>517901.45</v>
      </c>
      <c r="E9" s="200"/>
      <c r="F9" s="192"/>
    </row>
    <row r="10" spans="1:10" x14ac:dyDescent="0.25">
      <c r="B10" s="192">
        <f>+$B$9+1</f>
        <v>44187</v>
      </c>
      <c r="C10" s="201" t="s">
        <v>39</v>
      </c>
      <c r="D10" s="202">
        <f>-6367.27-839435.59</f>
        <v>-845802.86</v>
      </c>
      <c r="E10" s="201" t="s">
        <v>110</v>
      </c>
      <c r="F10" s="203"/>
      <c r="G10" s="201"/>
    </row>
    <row r="11" spans="1:10" x14ac:dyDescent="0.25">
      <c r="B11" s="192">
        <f>+$B$9+1</f>
        <v>44187</v>
      </c>
      <c r="C11" s="190" t="s">
        <v>40</v>
      </c>
      <c r="D11" s="204">
        <v>4006.4</v>
      </c>
      <c r="E11" s="205"/>
      <c r="F11" s="206"/>
    </row>
    <row r="12" spans="1:10" x14ac:dyDescent="0.25">
      <c r="B12" s="192">
        <f>B9</f>
        <v>44186</v>
      </c>
      <c r="C12" s="201" t="s">
        <v>41</v>
      </c>
      <c r="D12" s="202">
        <v>-31.96</v>
      </c>
      <c r="E12" s="207">
        <v>411805</v>
      </c>
    </row>
    <row r="13" spans="1:10" x14ac:dyDescent="0.25">
      <c r="B13" s="192">
        <f>B9</f>
        <v>44186</v>
      </c>
      <c r="C13" s="201" t="s">
        <v>42</v>
      </c>
      <c r="D13" s="204">
        <v>31.96</v>
      </c>
      <c r="E13" s="208"/>
      <c r="F13" s="208"/>
    </row>
    <row r="14" spans="1:10" s="209" customFormat="1" x14ac:dyDescent="0.25">
      <c r="B14" s="210"/>
      <c r="D14" s="211"/>
      <c r="E14" s="211"/>
      <c r="J14" s="103"/>
    </row>
    <row r="15" spans="1:10" x14ac:dyDescent="0.25">
      <c r="B15" s="212">
        <v>44182</v>
      </c>
      <c r="C15" s="213" t="s">
        <v>99</v>
      </c>
      <c r="D15" s="202">
        <v>-115.75</v>
      </c>
      <c r="E15" s="201"/>
      <c r="F15" s="214"/>
    </row>
    <row r="16" spans="1:10" x14ac:dyDescent="0.25">
      <c r="B16" s="212">
        <v>44180</v>
      </c>
      <c r="C16" s="213" t="s">
        <v>111</v>
      </c>
      <c r="D16" s="202">
        <v>-1423.81</v>
      </c>
      <c r="E16" s="199"/>
      <c r="F16" s="215"/>
    </row>
    <row r="17" spans="2:17" x14ac:dyDescent="0.25">
      <c r="B17" s="212">
        <v>44173</v>
      </c>
      <c r="C17" s="213" t="s">
        <v>112</v>
      </c>
      <c r="D17" s="202">
        <v>1573.92</v>
      </c>
      <c r="E17" s="199"/>
      <c r="F17" s="215"/>
    </row>
    <row r="18" spans="2:17" x14ac:dyDescent="0.25">
      <c r="B18" s="212">
        <v>44180</v>
      </c>
      <c r="C18" s="213" t="s">
        <v>113</v>
      </c>
      <c r="D18" s="202">
        <v>40</v>
      </c>
      <c r="E18" s="199"/>
      <c r="F18" s="215"/>
    </row>
    <row r="19" spans="2:17" x14ac:dyDescent="0.25">
      <c r="B19" s="212">
        <v>44166</v>
      </c>
      <c r="C19" s="213" t="s">
        <v>114</v>
      </c>
      <c r="D19" s="202">
        <v>-24444.959999999999</v>
      </c>
      <c r="E19" s="199"/>
      <c r="F19" s="215"/>
    </row>
    <row r="20" spans="2:17" x14ac:dyDescent="0.25">
      <c r="B20" s="212"/>
      <c r="C20" s="213"/>
      <c r="D20" s="202"/>
      <c r="E20" s="199"/>
      <c r="F20" s="215"/>
    </row>
    <row r="21" spans="2:17" s="209" customFormat="1" x14ac:dyDescent="0.25">
      <c r="B21" s="210"/>
      <c r="D21" s="211"/>
      <c r="E21" s="211"/>
      <c r="J21" s="103"/>
    </row>
    <row r="22" spans="2:17" x14ac:dyDescent="0.25">
      <c r="B22" s="192"/>
      <c r="C22" s="190" t="s">
        <v>43</v>
      </c>
      <c r="D22" s="202"/>
      <c r="E22" s="199"/>
      <c r="J22" s="102"/>
    </row>
    <row r="23" spans="2:17" x14ac:dyDescent="0.25">
      <c r="B23" s="192"/>
      <c r="C23" s="213" t="s">
        <v>44</v>
      </c>
      <c r="D23" s="202"/>
      <c r="E23" s="216"/>
      <c r="J23" s="102"/>
    </row>
    <row r="24" spans="2:17" x14ac:dyDescent="0.25">
      <c r="B24" s="192"/>
      <c r="C24" s="213" t="s">
        <v>45</v>
      </c>
      <c r="D24" s="202">
        <v>256432.28</v>
      </c>
      <c r="E24" s="217"/>
      <c r="F24" s="215"/>
      <c r="J24" s="102"/>
    </row>
    <row r="25" spans="2:17" ht="12.75" customHeight="1" x14ac:dyDescent="0.2">
      <c r="B25" s="192"/>
      <c r="C25" s="201" t="s">
        <v>46</v>
      </c>
      <c r="D25" s="202"/>
      <c r="E25" s="217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2:17" ht="12.75" x14ac:dyDescent="0.2">
      <c r="B26" s="218"/>
      <c r="C26" s="219"/>
      <c r="D26" s="220"/>
      <c r="E26" s="221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2:17" ht="13.5" customHeight="1" x14ac:dyDescent="0.25">
      <c r="B27" s="222">
        <f>B28</f>
        <v>44187</v>
      </c>
      <c r="C27" s="201" t="s">
        <v>47</v>
      </c>
      <c r="D27" s="223">
        <f>-27765.76-2135.84-5093.92</f>
        <v>-34995.519999999997</v>
      </c>
      <c r="E27" s="213"/>
      <c r="H27" s="201"/>
    </row>
    <row r="28" spans="2:17" ht="13.5" customHeight="1" x14ac:dyDescent="0.25">
      <c r="B28" s="222">
        <f>B29</f>
        <v>44187</v>
      </c>
      <c r="C28" s="190" t="s">
        <v>65</v>
      </c>
      <c r="D28" s="223">
        <v>-327079.01</v>
      </c>
      <c r="E28" s="213"/>
      <c r="H28" s="201"/>
    </row>
    <row r="29" spans="2:17" ht="13.5" customHeight="1" x14ac:dyDescent="0.25">
      <c r="B29" s="222">
        <f>B30+1</f>
        <v>44187</v>
      </c>
      <c r="C29" s="190" t="s">
        <v>66</v>
      </c>
      <c r="D29" s="223">
        <v>-1176.67</v>
      </c>
      <c r="E29" s="201"/>
      <c r="H29" s="201"/>
    </row>
    <row r="30" spans="2:17" ht="13.5" customHeight="1" x14ac:dyDescent="0.25">
      <c r="B30" s="222">
        <f>B9</f>
        <v>44186</v>
      </c>
      <c r="C30" s="190" t="s">
        <v>48</v>
      </c>
      <c r="D30" s="223">
        <v>-2195.59</v>
      </c>
      <c r="E30" s="201"/>
      <c r="H30" s="201"/>
    </row>
    <row r="31" spans="2:17" ht="13.5" customHeight="1" x14ac:dyDescent="0.25">
      <c r="B31" s="222">
        <f>B27+1</f>
        <v>44188</v>
      </c>
      <c r="C31" s="190" t="s">
        <v>49</v>
      </c>
      <c r="D31" s="223">
        <v>-37251.199999999997</v>
      </c>
      <c r="E31" s="201"/>
      <c r="H31" s="201"/>
    </row>
    <row r="32" spans="2:17" x14ac:dyDescent="0.25">
      <c r="B32" s="222">
        <f>B31</f>
        <v>44188</v>
      </c>
      <c r="C32" s="190" t="s">
        <v>79</v>
      </c>
      <c r="D32" s="223">
        <v>-143417.29999999999</v>
      </c>
      <c r="E32" s="201"/>
    </row>
    <row r="33" spans="1:17" x14ac:dyDescent="0.25">
      <c r="B33" s="222"/>
      <c r="C33" s="190" t="s">
        <v>50</v>
      </c>
      <c r="D33" s="223"/>
      <c r="E33" s="199"/>
    </row>
    <row r="34" spans="1:17" s="101" customFormat="1" x14ac:dyDescent="0.25">
      <c r="A34" s="190"/>
      <c r="B34" s="222"/>
      <c r="C34" s="190" t="s">
        <v>51</v>
      </c>
      <c r="D34" s="204"/>
      <c r="E34" s="224">
        <f>SUM(D27:D34)</f>
        <v>-546115.29</v>
      </c>
      <c r="F34" s="190"/>
      <c r="G34" s="190"/>
      <c r="H34" s="190"/>
      <c r="I34" s="190"/>
      <c r="K34" s="190"/>
      <c r="L34" s="190"/>
      <c r="M34" s="190"/>
      <c r="N34" s="190"/>
      <c r="O34" s="190"/>
      <c r="P34" s="190"/>
      <c r="Q34" s="190"/>
    </row>
    <row r="35" spans="1:17" s="101" customFormat="1" x14ac:dyDescent="0.25">
      <c r="A35" s="190"/>
      <c r="B35" s="222">
        <f>$B$9</f>
        <v>44186</v>
      </c>
      <c r="C35" s="190" t="s">
        <v>52</v>
      </c>
      <c r="D35" s="202"/>
      <c r="E35" s="215"/>
      <c r="F35" s="190"/>
      <c r="G35" s="190"/>
      <c r="H35" s="190"/>
      <c r="I35" s="190"/>
      <c r="K35" s="190"/>
      <c r="L35" s="190"/>
      <c r="M35" s="190"/>
      <c r="N35" s="190"/>
      <c r="O35" s="190"/>
      <c r="P35" s="190"/>
      <c r="Q35" s="190"/>
    </row>
    <row r="36" spans="1:17" s="101" customFormat="1" x14ac:dyDescent="0.25">
      <c r="A36" s="190"/>
      <c r="B36" s="222">
        <f t="shared" ref="B36:B40" si="0">$B$9</f>
        <v>44186</v>
      </c>
      <c r="C36" s="190" t="s">
        <v>53</v>
      </c>
      <c r="D36" s="202"/>
      <c r="E36" s="215"/>
      <c r="F36" s="190"/>
      <c r="G36" s="190"/>
      <c r="H36" s="190"/>
      <c r="I36" s="190"/>
      <c r="K36" s="190"/>
      <c r="L36" s="190"/>
      <c r="M36" s="190"/>
      <c r="N36" s="190"/>
      <c r="O36" s="190"/>
      <c r="P36" s="190"/>
      <c r="Q36" s="190"/>
    </row>
    <row r="37" spans="1:17" s="101" customFormat="1" x14ac:dyDescent="0.25">
      <c r="A37" s="190"/>
      <c r="B37" s="222">
        <f t="shared" si="0"/>
        <v>44186</v>
      </c>
      <c r="C37" s="190" t="s">
        <v>67</v>
      </c>
      <c r="D37" s="225"/>
      <c r="E37" s="226"/>
      <c r="F37" s="215"/>
      <c r="G37" s="190"/>
      <c r="H37" s="190"/>
      <c r="I37" s="190"/>
      <c r="K37" s="190"/>
      <c r="L37" s="190"/>
      <c r="M37" s="190"/>
      <c r="N37" s="190"/>
      <c r="O37" s="190"/>
      <c r="P37" s="190"/>
      <c r="Q37" s="190"/>
    </row>
    <row r="38" spans="1:17" s="101" customFormat="1" ht="14.25" customHeight="1" x14ac:dyDescent="0.25">
      <c r="A38" s="190"/>
      <c r="B38" s="222">
        <f t="shared" si="0"/>
        <v>44186</v>
      </c>
      <c r="C38" s="201" t="s">
        <v>54</v>
      </c>
      <c r="D38" s="225"/>
      <c r="E38" s="227"/>
      <c r="F38" s="104"/>
      <c r="G38" s="190"/>
      <c r="H38" s="190"/>
      <c r="I38" s="190"/>
      <c r="K38" s="190"/>
      <c r="L38" s="190"/>
      <c r="M38" s="190"/>
      <c r="N38" s="190"/>
      <c r="O38" s="190"/>
      <c r="P38" s="190"/>
      <c r="Q38" s="190"/>
    </row>
    <row r="39" spans="1:17" s="101" customFormat="1" ht="14.25" customHeight="1" x14ac:dyDescent="0.25">
      <c r="A39" s="190"/>
      <c r="B39" s="222">
        <f t="shared" si="0"/>
        <v>44186</v>
      </c>
      <c r="C39" s="201" t="s">
        <v>55</v>
      </c>
      <c r="D39" s="225"/>
      <c r="E39" s="227"/>
      <c r="F39" s="104"/>
      <c r="G39" s="190"/>
      <c r="H39" s="190"/>
      <c r="I39" s="190"/>
      <c r="K39" s="190"/>
      <c r="L39" s="190"/>
      <c r="M39" s="190"/>
      <c r="N39" s="190"/>
      <c r="O39" s="190"/>
      <c r="P39" s="190"/>
      <c r="Q39" s="190"/>
    </row>
    <row r="40" spans="1:17" s="101" customFormat="1" x14ac:dyDescent="0.25">
      <c r="A40" s="190"/>
      <c r="B40" s="222">
        <f t="shared" si="0"/>
        <v>44186</v>
      </c>
      <c r="C40" s="201" t="s">
        <v>56</v>
      </c>
      <c r="D40" s="225"/>
      <c r="E40" s="228"/>
      <c r="F40" s="229"/>
      <c r="G40" s="93"/>
      <c r="H40" s="230"/>
      <c r="I40" s="230"/>
      <c r="K40" s="190"/>
      <c r="L40" s="190"/>
      <c r="M40" s="190"/>
      <c r="N40" s="190"/>
      <c r="O40" s="190"/>
      <c r="P40" s="190"/>
      <c r="Q40" s="190"/>
    </row>
    <row r="41" spans="1:17" s="101" customFormat="1" ht="12" customHeight="1" x14ac:dyDescent="0.25">
      <c r="A41" s="190"/>
      <c r="B41" s="231"/>
      <c r="C41" s="232"/>
      <c r="D41" s="233"/>
      <c r="E41" s="234"/>
      <c r="F41" s="235"/>
      <c r="G41" s="94"/>
      <c r="H41" s="190"/>
      <c r="I41" s="190"/>
      <c r="K41" s="190"/>
      <c r="L41" s="190"/>
      <c r="M41" s="190"/>
      <c r="N41" s="190"/>
      <c r="O41" s="190"/>
      <c r="P41" s="190"/>
      <c r="Q41" s="190"/>
    </row>
    <row r="42" spans="1:17" s="101" customFormat="1" x14ac:dyDescent="0.25">
      <c r="A42" s="190"/>
      <c r="B42" s="236" t="s">
        <v>57</v>
      </c>
      <c r="C42" s="190"/>
      <c r="D42" s="225"/>
      <c r="E42" s="234"/>
      <c r="F42" s="235"/>
      <c r="G42" s="94"/>
      <c r="H42" s="190"/>
      <c r="I42" s="190"/>
      <c r="K42" s="190"/>
      <c r="L42" s="190"/>
      <c r="M42" s="190"/>
      <c r="N42" s="190"/>
      <c r="O42" s="190"/>
      <c r="P42" s="190"/>
      <c r="Q42" s="190"/>
    </row>
    <row r="43" spans="1:17" s="101" customFormat="1" x14ac:dyDescent="0.25">
      <c r="A43" s="190"/>
      <c r="B43" s="222"/>
      <c r="C43" s="213"/>
      <c r="D43" s="225"/>
      <c r="E43" s="237"/>
      <c r="F43" s="215"/>
      <c r="G43" s="94"/>
      <c r="H43" s="190"/>
      <c r="I43" s="190"/>
      <c r="K43" s="190"/>
      <c r="L43" s="190"/>
      <c r="M43" s="190"/>
      <c r="N43" s="190"/>
      <c r="O43" s="190"/>
      <c r="P43" s="190"/>
      <c r="Q43" s="190"/>
    </row>
    <row r="44" spans="1:17" s="101" customFormat="1" x14ac:dyDescent="0.25">
      <c r="A44" s="190"/>
      <c r="B44" s="222"/>
      <c r="C44" s="213"/>
      <c r="D44" s="225"/>
      <c r="E44" s="238"/>
      <c r="F44" s="239"/>
      <c r="G44" s="94"/>
      <c r="H44" s="190"/>
      <c r="I44" s="190"/>
      <c r="K44" s="190"/>
      <c r="L44" s="190"/>
      <c r="M44" s="190"/>
      <c r="N44" s="190"/>
      <c r="O44" s="190"/>
      <c r="P44" s="190"/>
      <c r="Q44" s="190"/>
    </row>
    <row r="45" spans="1:17" s="101" customFormat="1" x14ac:dyDescent="0.25">
      <c r="A45" s="190"/>
      <c r="B45" s="222"/>
      <c r="C45" s="213"/>
      <c r="D45" s="202"/>
      <c r="E45" s="240"/>
      <c r="F45" s="239"/>
      <c r="G45" s="94"/>
      <c r="H45" s="190"/>
      <c r="I45" s="190"/>
      <c r="K45" s="190"/>
      <c r="L45" s="190"/>
      <c r="M45" s="190"/>
      <c r="N45" s="190"/>
      <c r="O45" s="190"/>
      <c r="P45" s="190"/>
      <c r="Q45" s="190"/>
    </row>
    <row r="46" spans="1:17" s="101" customFormat="1" x14ac:dyDescent="0.25">
      <c r="A46" s="190"/>
      <c r="B46" s="222"/>
      <c r="C46" s="241"/>
      <c r="D46" s="202"/>
      <c r="E46" s="234"/>
      <c r="F46" s="95"/>
      <c r="G46" s="95"/>
      <c r="H46" s="190"/>
      <c r="I46" s="190"/>
      <c r="K46" s="190"/>
      <c r="L46" s="190"/>
      <c r="M46" s="190"/>
      <c r="N46" s="190"/>
      <c r="O46" s="190"/>
      <c r="P46" s="190"/>
      <c r="Q46" s="190"/>
    </row>
    <row r="47" spans="1:17" s="101" customFormat="1" x14ac:dyDescent="0.25">
      <c r="A47" s="190"/>
      <c r="B47" s="231"/>
      <c r="C47" s="232"/>
      <c r="D47" s="233"/>
      <c r="E47" s="242"/>
      <c r="G47" s="94"/>
      <c r="H47" s="190"/>
      <c r="I47" s="190"/>
      <c r="K47" s="190"/>
      <c r="L47" s="190"/>
      <c r="M47" s="190"/>
      <c r="N47" s="190"/>
      <c r="O47" s="190"/>
      <c r="P47" s="190"/>
      <c r="Q47" s="190"/>
    </row>
    <row r="48" spans="1:17" s="101" customFormat="1" x14ac:dyDescent="0.25">
      <c r="A48" s="190"/>
      <c r="B48" s="190"/>
      <c r="C48" s="190"/>
      <c r="D48" s="202"/>
      <c r="E48" s="243"/>
      <c r="F48" s="243"/>
      <c r="G48" s="96"/>
      <c r="H48" s="190"/>
      <c r="I48" s="190"/>
      <c r="K48" s="190"/>
      <c r="L48" s="190"/>
      <c r="M48" s="190"/>
      <c r="N48" s="190"/>
      <c r="O48" s="190"/>
      <c r="P48" s="190"/>
      <c r="Q48" s="190"/>
    </row>
    <row r="49" spans="1:17" s="101" customFormat="1" x14ac:dyDescent="0.25">
      <c r="A49" s="190"/>
      <c r="B49" s="191" t="s">
        <v>58</v>
      </c>
      <c r="C49" s="190"/>
      <c r="D49" s="202">
        <f>SUM(D4:D40)</f>
        <v>158000.96999999997</v>
      </c>
      <c r="E49" s="243"/>
      <c r="F49" s="202"/>
      <c r="G49" s="97"/>
      <c r="H49" s="215"/>
      <c r="I49" s="190"/>
      <c r="K49" s="190"/>
      <c r="L49" s="190"/>
      <c r="M49" s="190"/>
      <c r="N49" s="190"/>
      <c r="O49" s="190"/>
      <c r="P49" s="190"/>
      <c r="Q49" s="190"/>
    </row>
    <row r="50" spans="1:17" s="101" customFormat="1" x14ac:dyDescent="0.25">
      <c r="A50" s="190"/>
      <c r="B50" s="191"/>
      <c r="C50" s="190"/>
      <c r="D50" s="202"/>
      <c r="E50" s="244"/>
      <c r="F50" s="245"/>
      <c r="G50" s="98"/>
      <c r="H50" s="190"/>
      <c r="I50" s="190"/>
      <c r="K50" s="190"/>
      <c r="L50" s="190"/>
      <c r="M50" s="190"/>
      <c r="N50" s="190"/>
      <c r="O50" s="190"/>
      <c r="P50" s="190"/>
      <c r="Q50" s="190"/>
    </row>
    <row r="51" spans="1:17" x14ac:dyDescent="0.25">
      <c r="B51" s="191" t="s">
        <v>59</v>
      </c>
      <c r="D51" s="202">
        <f>+D43+D44+D45+D46+D47</f>
        <v>0</v>
      </c>
      <c r="E51" s="202"/>
      <c r="F51" s="246" t="s">
        <v>60</v>
      </c>
      <c r="G51" s="98"/>
      <c r="H51" s="215"/>
    </row>
    <row r="52" spans="1:17" x14ac:dyDescent="0.25">
      <c r="B52" s="191" t="s">
        <v>61</v>
      </c>
      <c r="D52" s="202"/>
      <c r="E52" s="229" t="str">
        <f>IF(D53&lt;0,"wire number below","")</f>
        <v>wire number below</v>
      </c>
      <c r="F52" s="246"/>
      <c r="G52" s="98"/>
    </row>
    <row r="53" spans="1:17" x14ac:dyDescent="0.25">
      <c r="B53" s="191" t="s">
        <v>62</v>
      </c>
      <c r="D53" s="247">
        <f>-D55</f>
        <v>-158000.96999999997</v>
      </c>
      <c r="E53" s="99"/>
      <c r="F53" s="248"/>
      <c r="G53" s="98"/>
    </row>
    <row r="54" spans="1:17" x14ac:dyDescent="0.25">
      <c r="B54" s="191"/>
      <c r="D54" s="202" t="s">
        <v>16</v>
      </c>
      <c r="E54" s="249"/>
      <c r="F54" s="245"/>
      <c r="G54" s="100"/>
    </row>
    <row r="55" spans="1:17" x14ac:dyDescent="0.25">
      <c r="B55" s="191" t="s">
        <v>63</v>
      </c>
      <c r="D55" s="202">
        <f>+D49+D51</f>
        <v>158000.96999999997</v>
      </c>
      <c r="E55" s="215"/>
      <c r="F55" s="245"/>
      <c r="G55" s="100"/>
    </row>
    <row r="56" spans="1:17" x14ac:dyDescent="0.25">
      <c r="B56" s="191" t="s">
        <v>64</v>
      </c>
      <c r="D56" s="202">
        <f>+D53+D55</f>
        <v>0</v>
      </c>
      <c r="E56" s="250"/>
      <c r="G56" s="96"/>
      <c r="H56" s="190" t="s">
        <v>16</v>
      </c>
    </row>
    <row r="57" spans="1:17" x14ac:dyDescent="0.25">
      <c r="D57" s="202"/>
      <c r="F57" s="215"/>
      <c r="G57" s="94"/>
    </row>
    <row r="58" spans="1:17" x14ac:dyDescent="0.25">
      <c r="B58" s="192"/>
      <c r="C58" s="201"/>
      <c r="D58" s="202"/>
      <c r="G58" s="94"/>
    </row>
    <row r="59" spans="1:17" x14ac:dyDescent="0.25">
      <c r="D59" s="202"/>
      <c r="G59" s="94"/>
    </row>
    <row r="60" spans="1:17" x14ac:dyDescent="0.25">
      <c r="D60" s="202"/>
      <c r="G60" s="94"/>
    </row>
    <row r="61" spans="1:17" x14ac:dyDescent="0.25">
      <c r="D61" s="251"/>
      <c r="E61" s="215"/>
      <c r="G61" s="94"/>
    </row>
    <row r="62" spans="1:17" x14ac:dyDescent="0.25">
      <c r="D62" s="202"/>
      <c r="E62" s="215"/>
      <c r="G62" s="94"/>
    </row>
    <row r="63" spans="1:17" x14ac:dyDescent="0.25">
      <c r="D63" s="202"/>
      <c r="E63" s="215"/>
      <c r="G63" s="94"/>
    </row>
    <row r="64" spans="1:17" x14ac:dyDescent="0.25">
      <c r="D64" s="202"/>
      <c r="G64" s="94"/>
    </row>
    <row r="65" spans="1:17" x14ac:dyDescent="0.25">
      <c r="D65" s="105"/>
      <c r="E65" s="215"/>
      <c r="G65" s="94"/>
    </row>
    <row r="66" spans="1:17" x14ac:dyDescent="0.25">
      <c r="D66" s="202"/>
      <c r="E66" s="215"/>
      <c r="G66" s="94"/>
    </row>
    <row r="67" spans="1:17" s="101" customFormat="1" x14ac:dyDescent="0.25">
      <c r="A67" s="190"/>
      <c r="B67" s="190"/>
      <c r="C67" s="190"/>
      <c r="D67" s="252"/>
      <c r="E67" s="190"/>
      <c r="F67" s="190"/>
      <c r="G67" s="94"/>
      <c r="H67" s="190"/>
      <c r="I67" s="190"/>
      <c r="K67" s="190"/>
      <c r="L67" s="190"/>
      <c r="M67" s="190"/>
      <c r="N67" s="190"/>
      <c r="O67" s="190"/>
      <c r="P67" s="190"/>
      <c r="Q67" s="190"/>
    </row>
    <row r="68" spans="1:17" s="101" customFormat="1" x14ac:dyDescent="0.25">
      <c r="A68" s="190"/>
      <c r="B68" s="190"/>
      <c r="C68" s="190"/>
      <c r="D68" s="252"/>
      <c r="E68" s="190"/>
      <c r="F68" s="190"/>
      <c r="G68" s="94"/>
      <c r="H68" s="190"/>
      <c r="I68" s="190"/>
      <c r="K68" s="190"/>
      <c r="L68" s="190"/>
      <c r="M68" s="190"/>
      <c r="N68" s="190"/>
      <c r="O68" s="190"/>
      <c r="P68" s="190"/>
      <c r="Q68" s="190"/>
    </row>
    <row r="69" spans="1:17" s="101" customFormat="1" x14ac:dyDescent="0.25">
      <c r="A69" s="190"/>
      <c r="B69" s="190"/>
      <c r="C69" s="190"/>
      <c r="D69" s="252"/>
      <c r="E69" s="190"/>
      <c r="F69" s="190"/>
      <c r="G69" s="190"/>
      <c r="H69" s="190"/>
      <c r="I69" s="190"/>
      <c r="K69" s="190"/>
      <c r="L69" s="190"/>
      <c r="M69" s="190"/>
      <c r="N69" s="190"/>
      <c r="O69" s="190"/>
      <c r="P69" s="190"/>
      <c r="Q69" s="190"/>
    </row>
    <row r="70" spans="1:17" s="101" customFormat="1" x14ac:dyDescent="0.25">
      <c r="A70" s="190"/>
      <c r="B70" s="190"/>
      <c r="C70" s="190"/>
      <c r="D70" s="202"/>
      <c r="E70" s="190"/>
      <c r="F70" s="190"/>
      <c r="G70" s="190"/>
      <c r="H70" s="190"/>
      <c r="I70" s="190"/>
      <c r="K70" s="190"/>
      <c r="L70" s="190"/>
      <c r="M70" s="190"/>
      <c r="N70" s="190"/>
      <c r="O70" s="190"/>
      <c r="P70" s="190"/>
      <c r="Q70" s="190"/>
    </row>
    <row r="71" spans="1:17" s="101" customFormat="1" x14ac:dyDescent="0.25">
      <c r="A71" s="190"/>
      <c r="B71" s="190"/>
      <c r="C71" s="190"/>
      <c r="D71" s="252"/>
      <c r="E71" s="190"/>
      <c r="F71" s="190"/>
      <c r="G71" s="190"/>
      <c r="H71" s="190"/>
      <c r="I71" s="190"/>
      <c r="K71" s="190"/>
      <c r="L71" s="190"/>
      <c r="M71" s="190"/>
      <c r="N71" s="190"/>
      <c r="O71" s="190"/>
      <c r="P71" s="190"/>
      <c r="Q71" s="190"/>
    </row>
    <row r="72" spans="1:17" s="101" customFormat="1" x14ac:dyDescent="0.25">
      <c r="A72" s="190"/>
      <c r="B72" s="190"/>
      <c r="C72" s="190"/>
      <c r="D72" s="202"/>
      <c r="E72" s="202"/>
      <c r="F72" s="190"/>
      <c r="G72" s="190"/>
      <c r="H72" s="190"/>
      <c r="I72" s="190"/>
      <c r="K72" s="190"/>
      <c r="L72" s="190"/>
      <c r="M72" s="190"/>
      <c r="N72" s="190"/>
      <c r="O72" s="190"/>
      <c r="P72" s="190"/>
      <c r="Q72" s="190"/>
    </row>
    <row r="73" spans="1:17" s="101" customFormat="1" x14ac:dyDescent="0.25">
      <c r="A73" s="190"/>
      <c r="B73" s="190"/>
      <c r="C73" s="190"/>
      <c r="D73" s="252"/>
      <c r="E73" s="190"/>
      <c r="F73" s="190"/>
      <c r="G73" s="190"/>
      <c r="H73" s="190"/>
      <c r="I73" s="190"/>
      <c r="K73" s="190"/>
      <c r="L73" s="190"/>
      <c r="M73" s="190"/>
      <c r="N73" s="190"/>
      <c r="O73" s="190"/>
      <c r="P73" s="190"/>
      <c r="Q73" s="190"/>
    </row>
    <row r="74" spans="1:17" s="101" customFormat="1" x14ac:dyDescent="0.25">
      <c r="A74" s="190"/>
      <c r="B74" s="190"/>
      <c r="C74" s="190"/>
      <c r="D74" s="252"/>
      <c r="E74" s="252"/>
      <c r="F74" s="252"/>
      <c r="G74" s="252"/>
      <c r="H74" s="190"/>
      <c r="I74" s="253"/>
      <c r="K74" s="190"/>
      <c r="L74" s="190"/>
      <c r="M74" s="190"/>
      <c r="N74" s="190"/>
      <c r="O74" s="190"/>
      <c r="P74" s="190"/>
      <c r="Q74" s="190"/>
    </row>
    <row r="75" spans="1:17" s="101" customFormat="1" x14ac:dyDescent="0.25">
      <c r="A75" s="190"/>
      <c r="B75" s="190"/>
      <c r="C75" s="190"/>
      <c r="D75" s="190"/>
      <c r="E75" s="190"/>
      <c r="F75" s="254"/>
      <c r="G75" s="190"/>
      <c r="H75" s="190"/>
      <c r="I75" s="190"/>
      <c r="K75" s="190"/>
      <c r="L75" s="190"/>
      <c r="M75" s="190"/>
      <c r="N75" s="190"/>
      <c r="O75" s="190"/>
      <c r="P75" s="190"/>
      <c r="Q75" s="190"/>
    </row>
    <row r="77" spans="1:17" s="101" customFormat="1" x14ac:dyDescent="0.25">
      <c r="A77" s="190"/>
      <c r="B77" s="190"/>
      <c r="C77" s="190"/>
      <c r="D77" s="190"/>
      <c r="E77" s="253"/>
      <c r="F77" s="190"/>
      <c r="G77" s="190"/>
      <c r="H77" s="190"/>
      <c r="I77" s="190"/>
      <c r="K77" s="190"/>
      <c r="L77" s="190"/>
      <c r="M77" s="190"/>
      <c r="N77" s="190"/>
      <c r="O77" s="190"/>
      <c r="P77" s="190"/>
      <c r="Q77" s="190"/>
    </row>
    <row r="80" spans="1:17" s="101" customFormat="1" x14ac:dyDescent="0.25">
      <c r="A80" s="190"/>
      <c r="B80" s="190"/>
      <c r="C80" s="190"/>
      <c r="D80" s="190"/>
      <c r="E80" s="255"/>
      <c r="F80" s="253"/>
      <c r="G80" s="190"/>
      <c r="H80" s="190"/>
      <c r="I80" s="190"/>
      <c r="K80" s="190"/>
      <c r="L80" s="190"/>
      <c r="M80" s="190"/>
      <c r="N80" s="190"/>
      <c r="O80" s="190"/>
      <c r="P80" s="190"/>
      <c r="Q80" s="190"/>
    </row>
    <row r="82" spans="1:17" s="101" customFormat="1" x14ac:dyDescent="0.25">
      <c r="A82" s="190"/>
      <c r="B82" s="190"/>
      <c r="C82" s="190"/>
      <c r="D82" s="190"/>
      <c r="E82" s="215"/>
      <c r="F82" s="190"/>
      <c r="G82" s="190"/>
      <c r="H82" s="190"/>
      <c r="I82" s="190"/>
      <c r="K82" s="190"/>
      <c r="L82" s="190"/>
      <c r="M82" s="190"/>
      <c r="N82" s="190"/>
      <c r="O82" s="190"/>
      <c r="P82" s="190"/>
      <c r="Q82" s="190"/>
    </row>
    <row r="87" spans="1:17" x14ac:dyDescent="0.25">
      <c r="D87" s="256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11 25</vt:lpstr>
      <vt:lpstr>12 02</vt:lpstr>
      <vt:lpstr>12 09</vt:lpstr>
      <vt:lpstr>12 16</vt:lpstr>
      <vt:lpstr>12 23</vt:lpstr>
      <vt:lpstr>'11 25'!Print_Area</vt:lpstr>
      <vt:lpstr>'12 02'!Print_Area</vt:lpstr>
      <vt:lpstr>'12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2020-12-23T18:19:46Z</dcterms:modified>
</cp:coreProperties>
</file>